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 Economic Debt/Links Removed/Website Files/"/>
    </mc:Choice>
  </mc:AlternateContent>
  <xr:revisionPtr revIDLastSave="199" documentId="101_{D7FCCBA3-D42D-4003-BEC3-F4D91E7C7CE3}" xr6:coauthVersionLast="47" xr6:coauthVersionMax="47" xr10:uidLastSave="{25708F64-2CA1-47F8-997E-2E074696386A}"/>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3 - Totex - Reconciliation" sheetId="2" r:id="rId6"/>
    <sheet name="R2 - Rec to Revenue and Profit" sheetId="4"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6">'R2 - Rec to Revenue and Profit'!$A$1:$J$63</definedName>
    <definedName name="_xlnm.Print_Area" localSheetId="5">'R3 - Totex - Reconciliation'!$A$1:$J$106</definedName>
    <definedName name="_xlnm.Print_Area" localSheetId="7">'R4 - Incentives and Other Rev'!$A$1:$I$36</definedName>
    <definedName name="_xlnm.Print_Area" localSheetId="8">'R5 - Financing'!$A$1:$I$83</definedName>
    <definedName name="_xlnm.Print_Area" localSheetId="9">'R5a - Financing input'!$A$4:$AK$229</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8" i="2" l="1"/>
  <c r="E168" i="2"/>
  <c r="D157" i="2"/>
  <c r="E157" i="2"/>
  <c r="D12" i="19" l="1"/>
  <c r="E12" i="19" l="1"/>
  <c r="E15" i="4" l="1"/>
  <c r="E19" i="4" s="1"/>
  <c r="E21" i="4" s="1"/>
  <c r="G15" i="4"/>
  <c r="G19" i="4" s="1"/>
  <c r="G21" i="4" s="1"/>
  <c r="F15" i="4"/>
  <c r="F19" i="4" s="1"/>
  <c r="F21" i="4" s="1"/>
  <c r="E122" i="2" l="1"/>
  <c r="F12" i="19" l="1"/>
  <c r="H66" i="19" l="1"/>
  <c r="G66" i="19"/>
  <c r="F66" i="19"/>
  <c r="G73" i="1" l="1"/>
  <c r="E73" i="1"/>
  <c r="F73" i="1"/>
  <c r="H73" i="1"/>
  <c r="D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7" i="2"/>
  <c r="H157"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3" i="2" l="1"/>
  <c r="F203" i="2"/>
  <c r="G203" i="2"/>
  <c r="H203" i="2"/>
  <c r="D203" i="2"/>
  <c r="E22" i="35" l="1"/>
  <c r="B11" i="35"/>
  <c r="J54" i="35" l="1"/>
  <c r="J79" i="35"/>
  <c r="J80" i="35"/>
  <c r="J56" i="35"/>
  <c r="J81" i="35"/>
  <c r="J57" i="35"/>
  <c r="J58" i="35"/>
  <c r="J59" i="35"/>
  <c r="J84" i="35"/>
  <c r="J85" i="35"/>
  <c r="J74" i="35"/>
  <c r="J101" i="35"/>
  <c r="J86" i="35"/>
  <c r="K86" i="35" s="1"/>
  <c r="J89" i="35"/>
  <c r="J63" i="35"/>
  <c r="K63" i="35" s="1"/>
  <c r="J76" i="35"/>
  <c r="J68" i="35"/>
  <c r="J78" i="35"/>
  <c r="J97" i="35"/>
  <c r="J96" i="35"/>
  <c r="J98" i="35"/>
  <c r="J99"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E169" i="2" l="1"/>
  <c r="G168" i="2"/>
  <c r="G169" i="2" s="1"/>
  <c r="H168" i="2"/>
  <c r="H169" i="2" s="1"/>
  <c r="F75" i="4"/>
  <c r="E75" i="4"/>
  <c r="D169" i="2"/>
  <c r="I75" i="4" l="1"/>
  <c r="H75" i="4"/>
  <c r="F96" i="4" l="1"/>
  <c r="G96" i="4"/>
  <c r="H96" i="4"/>
  <c r="I96" i="4"/>
  <c r="F89" i="4"/>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E81" i="4" s="1"/>
  <c r="E93" i="4" s="1"/>
  <c r="F196" i="28"/>
  <c r="F195" i="28"/>
  <c r="A3" i="13"/>
  <c r="D60" i="19"/>
  <c r="D62" i="19" s="1"/>
  <c r="E60" i="19"/>
  <c r="E62" i="19" s="1"/>
  <c r="F60" i="19"/>
  <c r="F62" i="19" s="1"/>
  <c r="G60" i="19"/>
  <c r="G62" i="19" s="1"/>
  <c r="H60" i="19"/>
  <c r="H62" i="19" s="1"/>
  <c r="D67" i="19"/>
  <c r="E67" i="19"/>
  <c r="F67" i="19"/>
  <c r="G67" i="19"/>
  <c r="H67" i="19"/>
  <c r="G43" i="11"/>
  <c r="G62" i="11" s="1"/>
  <c r="H43" i="11"/>
  <c r="H62" i="11" s="1"/>
  <c r="E31" i="11"/>
  <c r="E32" i="11" s="1"/>
  <c r="F31" i="11"/>
  <c r="F32" i="11" s="1"/>
  <c r="G31" i="11"/>
  <c r="H31" i="11"/>
  <c r="D31" i="11"/>
  <c r="D32" i="11" s="1"/>
  <c r="E39" i="11"/>
  <c r="E40" i="11" s="1"/>
  <c r="F39" i="11"/>
  <c r="F40" i="11" s="1"/>
  <c r="G39" i="11"/>
  <c r="H39" i="11"/>
  <c r="D39" i="11"/>
  <c r="D40" i="11" s="1"/>
  <c r="E44" i="5"/>
  <c r="F44" i="5"/>
  <c r="G44" i="5"/>
  <c r="H44" i="5"/>
  <c r="D122" i="2"/>
  <c r="D131" i="2" s="1"/>
  <c r="E131" i="2"/>
  <c r="F122" i="2"/>
  <c r="F131" i="2" s="1"/>
  <c r="G122" i="2"/>
  <c r="G131" i="2" s="1"/>
  <c r="H122" i="2"/>
  <c r="H131" i="2" s="1"/>
  <c r="H78" i="2"/>
  <c r="G78" i="2"/>
  <c r="F78" i="2"/>
  <c r="E78" i="2"/>
  <c r="D78" i="2"/>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I6" i="5"/>
  <c r="I5" i="5" s="1"/>
  <c r="H49" i="2"/>
  <c r="G49" i="2"/>
  <c r="F49" i="2"/>
  <c r="E49" i="2"/>
  <c r="D49" i="2"/>
  <c r="J48" i="2"/>
  <c r="J47" i="2"/>
  <c r="H15" i="2"/>
  <c r="G15" i="2"/>
  <c r="F15" i="2"/>
  <c r="E15" i="2"/>
  <c r="J14" i="2"/>
  <c r="J13" i="2"/>
  <c r="I6" i="2"/>
  <c r="I56" i="4"/>
  <c r="H56" i="4"/>
  <c r="G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D43" i="11" l="1"/>
  <c r="D62" i="11" s="1"/>
  <c r="F43" i="11"/>
  <c r="F62" i="11" s="1"/>
  <c r="E43" i="11"/>
  <c r="E62" i="11" s="1"/>
  <c r="F34" i="28"/>
  <c r="D174" i="2" s="1"/>
  <c r="G34" i="28"/>
  <c r="H34" i="28"/>
  <c r="I34" i="28"/>
  <c r="J34" i="28"/>
  <c r="K34" i="28"/>
  <c r="L34" i="28"/>
  <c r="F30" i="10"/>
  <c r="E134" i="28"/>
  <c r="F134" i="28" s="1"/>
  <c r="C15" i="4"/>
  <c r="E58" i="4"/>
  <c r="E60" i="4" s="1"/>
  <c r="B15" i="4"/>
  <c r="C13" i="4"/>
  <c r="F36" i="28"/>
  <c r="F35" i="28"/>
  <c r="E35" i="28"/>
  <c r="E36" i="28"/>
  <c r="H87" i="28"/>
  <c r="H89" i="28"/>
  <c r="D12" i="5"/>
  <c r="J22" i="5"/>
  <c r="J71" i="5"/>
  <c r="E131" i="28"/>
  <c r="F131" i="28" s="1"/>
  <c r="D38" i="2"/>
  <c r="D19" i="2"/>
  <c r="B4" i="35"/>
  <c r="J44" i="5"/>
  <c r="L20" i="28"/>
  <c r="B45" i="2"/>
  <c r="B11" i="2"/>
  <c r="E6" i="19"/>
  <c r="E5" i="19" s="1"/>
  <c r="D51" i="19"/>
  <c r="D5" i="1"/>
  <c r="A3" i="44"/>
  <c r="A3" i="43"/>
  <c r="D5" i="2"/>
  <c r="E78" i="4"/>
  <c r="E79" i="4" s="1"/>
  <c r="E203" i="28"/>
  <c r="J62" i="28"/>
  <c r="J81" i="28" s="1"/>
  <c r="I87" i="28"/>
  <c r="Q62" i="28"/>
  <c r="Q76" i="28" s="1"/>
  <c r="P87" i="28"/>
  <c r="E19" i="2"/>
  <c r="C172" i="2"/>
  <c r="H78" i="4"/>
  <c r="H79" i="4" s="1"/>
  <c r="I81" i="4"/>
  <c r="I93" i="4" s="1"/>
  <c r="I78" i="4"/>
  <c r="I79" i="4" s="1"/>
  <c r="G81" i="4"/>
  <c r="G93" i="4" s="1"/>
  <c r="F78" i="4"/>
  <c r="F79" i="4" s="1"/>
  <c r="E6" i="5"/>
  <c r="E12" i="5" s="1"/>
  <c r="E67" i="1" s="1"/>
  <c r="D5" i="5"/>
  <c r="D90" i="2"/>
  <c r="D91" i="2"/>
  <c r="G90" i="2"/>
  <c r="G91" i="2"/>
  <c r="E91" i="2"/>
  <c r="E90" i="2"/>
  <c r="H91" i="2"/>
  <c r="H90" i="2"/>
  <c r="F90" i="2"/>
  <c r="F91" i="2"/>
  <c r="D66" i="2"/>
  <c r="G66" i="2"/>
  <c r="E66" i="2"/>
  <c r="H66" i="2"/>
  <c r="F66" i="2"/>
  <c r="F37" i="2"/>
  <c r="H37" i="2"/>
  <c r="D37" i="2"/>
  <c r="G37" i="2"/>
  <c r="E37" i="2"/>
  <c r="F6" i="4"/>
  <c r="F66" i="4" s="1"/>
  <c r="H171" i="2"/>
  <c r="H205" i="2" s="1"/>
  <c r="F82" i="2"/>
  <c r="E96" i="4"/>
  <c r="G42" i="11"/>
  <c r="G61" i="11" s="1"/>
  <c r="D42" i="11"/>
  <c r="D61" i="11" s="1"/>
  <c r="F42" i="11"/>
  <c r="F61" i="11" s="1"/>
  <c r="E42" i="11"/>
  <c r="E61" i="11" s="1"/>
  <c r="H42" i="11"/>
  <c r="H61" i="11" s="1"/>
  <c r="B20" i="1"/>
  <c r="H20" i="2"/>
  <c r="H42" i="2" s="1"/>
  <c r="J49" i="2"/>
  <c r="F19" i="2"/>
  <c r="H83" i="2"/>
  <c r="G83" i="2"/>
  <c r="E83" i="2"/>
  <c r="J15" i="2"/>
  <c r="J78" i="2"/>
  <c r="D171" i="2"/>
  <c r="D205" i="2" s="1"/>
  <c r="G20" i="2"/>
  <c r="G42" i="2" s="1"/>
  <c r="E20" i="2"/>
  <c r="E42" i="2" s="1"/>
  <c r="F83" i="2"/>
  <c r="H54" i="2"/>
  <c r="H71" i="2" s="1"/>
  <c r="F54" i="2"/>
  <c r="F6" i="29"/>
  <c r="F5" i="29" s="1"/>
  <c r="D54" i="2"/>
  <c r="D53" i="2"/>
  <c r="D82" i="2"/>
  <c r="G6" i="10"/>
  <c r="G5" i="10" s="1"/>
  <c r="E6" i="2"/>
  <c r="E174" i="2" s="1"/>
  <c r="E6" i="11"/>
  <c r="E51" i="19"/>
  <c r="F32" i="28"/>
  <c r="E66" i="4"/>
  <c r="E5" i="4"/>
  <c r="G52" i="19"/>
  <c r="G33" i="28"/>
  <c r="G36" i="28" s="1"/>
  <c r="E109" i="2"/>
  <c r="E108" i="2" s="1"/>
  <c r="H53" i="29"/>
  <c r="G82" i="2"/>
  <c r="F53"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G58" i="4"/>
  <c r="G60" i="4" s="1"/>
  <c r="B48" i="1"/>
  <c r="G19" i="2"/>
  <c r="H82" i="2"/>
  <c r="E136" i="28"/>
  <c r="F136" i="28" s="1"/>
  <c r="D20" i="2"/>
  <c r="H19" i="2"/>
  <c r="E82" i="2"/>
  <c r="D83" i="2"/>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3" i="29"/>
  <c r="F36" i="10"/>
  <c r="I53" i="29"/>
  <c r="E53" i="29"/>
  <c r="D175" i="2" l="1"/>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M20" i="28"/>
  <c r="N20" i="28"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2" i="35"/>
  <c r="G18" i="35"/>
  <c r="H41" i="2"/>
  <c r="E82" i="4"/>
  <c r="E94" i="4" s="1"/>
  <c r="G71" i="35"/>
  <c r="G24" i="35"/>
  <c r="C108" i="35"/>
  <c r="G96" i="35"/>
  <c r="G73"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F106" i="4" s="1"/>
  <c r="E95" i="2"/>
  <c r="E107" i="35"/>
  <c r="E108" i="35" s="1"/>
  <c r="D107" i="35"/>
  <c r="F5" i="4"/>
  <c r="G6" i="4"/>
  <c r="E71" i="2"/>
  <c r="D41" i="2"/>
  <c r="F95" i="2"/>
  <c r="G95" i="2"/>
  <c r="G102" i="2" s="1"/>
  <c r="G66" i="1" s="1"/>
  <c r="D42" i="2"/>
  <c r="E76" i="1"/>
  <c r="D76" i="1"/>
  <c r="G6" i="1"/>
  <c r="G5" i="1" s="1"/>
  <c r="E5" i="1"/>
  <c r="E5" i="5"/>
  <c r="E74" i="1"/>
  <c r="D95" i="2"/>
  <c r="D94" i="2"/>
  <c r="E94" i="2"/>
  <c r="F94" i="2"/>
  <c r="G94" i="2"/>
  <c r="H94" i="2"/>
  <c r="J91" i="2"/>
  <c r="F71" i="2"/>
  <c r="J90" i="2"/>
  <c r="J38" i="2"/>
  <c r="F70" i="2"/>
  <c r="E70" i="2"/>
  <c r="H70" i="2"/>
  <c r="G70" i="2"/>
  <c r="G72" i="2" s="1"/>
  <c r="D71" i="2"/>
  <c r="J67" i="2"/>
  <c r="D70" i="2"/>
  <c r="J66" i="2"/>
  <c r="J37" i="2"/>
  <c r="G106" i="4"/>
  <c r="G171" i="2"/>
  <c r="G205" i="2" s="1"/>
  <c r="E171" i="2"/>
  <c r="E205" i="2" s="1"/>
  <c r="E207" i="2" s="1"/>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D102" i="2" l="1"/>
  <c r="E175" i="2"/>
  <c r="I62" i="2"/>
  <c r="G6" i="19"/>
  <c r="G5" i="19" s="1"/>
  <c r="H36" i="28"/>
  <c r="H35" i="28"/>
  <c r="D207" i="2"/>
  <c r="D206"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K54" i="35" s="1"/>
  <c r="I95" i="2"/>
  <c r="C11" i="28"/>
  <c r="I6" i="10"/>
  <c r="I5" i="10" s="1"/>
  <c r="I27"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G96" i="2"/>
  <c r="B67" i="5"/>
  <c r="B78" i="1" s="1"/>
  <c r="B66" i="5"/>
  <c r="B77" i="1" s="1"/>
  <c r="B81" i="1"/>
  <c r="B69" i="5"/>
  <c r="B80" i="1" s="1"/>
  <c r="J42" i="2"/>
  <c r="B68" i="5"/>
  <c r="B79" i="1" s="1"/>
  <c r="J95" i="2"/>
  <c r="D96" i="2"/>
  <c r="D101" i="2"/>
  <c r="F76" i="1"/>
  <c r="J76" i="1" s="1"/>
  <c r="I70" i="2"/>
  <c r="B19" i="1"/>
  <c r="B46" i="1"/>
  <c r="J71" i="2"/>
  <c r="I71" i="2"/>
  <c r="D72" i="2"/>
  <c r="H106" i="4"/>
  <c r="F94" i="4"/>
  <c r="I106" i="4"/>
  <c r="J70" i="2"/>
  <c r="F72" i="2"/>
  <c r="E101" i="2"/>
  <c r="G101" i="2"/>
  <c r="E72" i="2"/>
  <c r="H72" i="2"/>
  <c r="E106" i="4"/>
  <c r="H43" i="2"/>
  <c r="J94" i="2"/>
  <c r="G43" i="2"/>
  <c r="F43" i="2"/>
  <c r="H6" i="29"/>
  <c r="H5" i="29" s="1"/>
  <c r="F5" i="2"/>
  <c r="G6" i="2"/>
  <c r="G174" i="2" s="1"/>
  <c r="G175" i="2" s="1"/>
  <c r="J71" i="1"/>
  <c r="F5" i="11"/>
  <c r="G6" i="11"/>
  <c r="J72" i="1"/>
  <c r="G109" i="2"/>
  <c r="F108" i="2"/>
  <c r="F74" i="1"/>
  <c r="J74" i="1" s="1"/>
  <c r="H32" i="28"/>
  <c r="I33" i="28"/>
  <c r="B42" i="1"/>
  <c r="B16" i="1"/>
  <c r="H6" i="19" l="1"/>
  <c r="H5" i="19" s="1"/>
  <c r="I36" i="28"/>
  <c r="I35" i="28"/>
  <c r="F46" i="29"/>
  <c r="F23" i="29" s="1"/>
  <c r="E18" i="19"/>
  <c r="E54" i="19"/>
  <c r="E82" i="1" s="1"/>
  <c r="E206" i="2"/>
  <c r="F37" i="10"/>
  <c r="H6" i="5"/>
  <c r="H12" i="5" s="1"/>
  <c r="H67" i="1" s="1"/>
  <c r="G12" i="5"/>
  <c r="G67" i="1" s="1"/>
  <c r="F67" i="1"/>
  <c r="K59" i="35"/>
  <c r="K81" i="35"/>
  <c r="K99" i="35"/>
  <c r="G5" i="5"/>
  <c r="K76" i="35"/>
  <c r="K101" i="35"/>
  <c r="I43" i="2"/>
  <c r="K58" i="35"/>
  <c r="K57" i="35"/>
  <c r="K85" i="35"/>
  <c r="K74" i="35"/>
  <c r="K96" i="35"/>
  <c r="K49" i="35"/>
  <c r="K97" i="35"/>
  <c r="K84" i="35"/>
  <c r="G35" i="10"/>
  <c r="K98" i="35"/>
  <c r="K56" i="35"/>
  <c r="H66" i="4"/>
  <c r="I6" i="4"/>
  <c r="I5" i="4" s="1"/>
  <c r="G34" i="10"/>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I77" i="2" l="1"/>
  <c r="H174" i="2"/>
  <c r="H175" i="2" s="1"/>
  <c r="H5" i="5"/>
  <c r="J27" i="10"/>
  <c r="J36" i="28"/>
  <c r="J35" i="28"/>
  <c r="F206" i="2"/>
  <c r="F54" i="19"/>
  <c r="F82" i="1" s="1"/>
  <c r="F18" i="19"/>
  <c r="G46" i="29"/>
  <c r="G23" i="29" s="1"/>
  <c r="I66" i="4"/>
  <c r="J12" i="5"/>
  <c r="G37" i="10"/>
  <c r="H34" i="10"/>
  <c r="H35" i="10"/>
  <c r="I103" i="2"/>
  <c r="G207"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K74" i="1" s="1"/>
  <c r="J79" i="1"/>
  <c r="J80" i="1"/>
  <c r="I78" i="2" l="1"/>
  <c r="G206" i="2"/>
  <c r="K36" i="28"/>
  <c r="K35" i="28"/>
  <c r="H46" i="29"/>
  <c r="H23" i="29" s="1"/>
  <c r="H41" i="29" s="1"/>
  <c r="G54" i="19"/>
  <c r="G82" i="1" s="1"/>
  <c r="G18" i="19"/>
  <c r="H37" i="10"/>
  <c r="I34" i="10"/>
  <c r="I35" i="10"/>
  <c r="H207"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1" i="29"/>
  <c r="J77" i="1"/>
  <c r="J67" i="1"/>
  <c r="J68" i="1"/>
  <c r="K69" i="1"/>
  <c r="L35" i="28" l="1"/>
  <c r="L36" i="28"/>
  <c r="H54" i="19"/>
  <c r="H82" i="1" s="1"/>
  <c r="K82" i="1" s="1"/>
  <c r="H18" i="19"/>
  <c r="H206" i="2"/>
  <c r="I46" i="29"/>
  <c r="I23" i="29" s="1"/>
  <c r="I41" i="29" s="1"/>
  <c r="I37" i="10"/>
  <c r="J34" i="10"/>
  <c r="J35" i="10"/>
  <c r="D18" i="19"/>
  <c r="J82" i="1"/>
  <c r="E46" i="29"/>
  <c r="E23" i="29" s="1"/>
  <c r="K81" i="1"/>
  <c r="L32" i="28"/>
  <c r="K80" i="1"/>
  <c r="K79" i="1"/>
  <c r="K72" i="1"/>
  <c r="K70" i="1"/>
  <c r="K71" i="1"/>
  <c r="J37" i="10" l="1"/>
  <c r="E41" i="29"/>
  <c r="E44" i="29" s="1"/>
  <c r="E48" i="29" s="1"/>
  <c r="K67" i="1"/>
  <c r="K77" i="1"/>
  <c r="K68" i="1"/>
  <c r="E103" i="4" l="1"/>
  <c r="E104" i="4" s="1"/>
  <c r="E68" i="29"/>
  <c r="E56" i="29" l="1"/>
  <c r="E97" i="4" l="1"/>
  <c r="E107" i="4" l="1"/>
  <c r="E108" i="4" s="1"/>
  <c r="E98" i="4"/>
  <c r="H97" i="4"/>
  <c r="I97" i="4"/>
  <c r="I98" i="4" l="1"/>
  <c r="H98" i="4"/>
  <c r="F97" i="4"/>
  <c r="G97" i="4"/>
  <c r="G98" i="4" l="1"/>
  <c r="F98" i="4"/>
  <c r="I44" i="29" l="1"/>
  <c r="G44" i="29"/>
  <c r="H44" i="29"/>
  <c r="I48" i="29" l="1"/>
  <c r="I68" i="29" s="1"/>
  <c r="I103" i="4"/>
  <c r="I56" i="29"/>
  <c r="H48" i="29"/>
  <c r="H68" i="29" s="1"/>
  <c r="H56" i="29"/>
  <c r="H103" i="4"/>
  <c r="G48" i="29"/>
  <c r="G68" i="29" s="1"/>
  <c r="G56" i="29"/>
  <c r="G103" i="4"/>
  <c r="I104" i="4" l="1"/>
  <c r="I107" i="4"/>
  <c r="I108" i="4" s="1"/>
  <c r="H104" i="4"/>
  <c r="H107" i="4"/>
  <c r="H108" i="4" s="1"/>
  <c r="G104" i="4"/>
  <c r="J23" i="10" l="1"/>
  <c r="I23" i="10"/>
  <c r="H23" i="10"/>
  <c r="G23" i="10"/>
  <c r="F23" i="10"/>
  <c r="J20" i="10"/>
  <c r="I20" i="10"/>
  <c r="H20" i="10"/>
  <c r="G20" i="10"/>
  <c r="F20" i="10"/>
  <c r="F17" i="10" l="1"/>
  <c r="F24" i="10" s="1"/>
  <c r="G15" i="10" l="1"/>
  <c r="G17" i="10" s="1"/>
  <c r="G24" i="10" s="1"/>
  <c r="F27" i="10"/>
  <c r="F32" i="10"/>
  <c r="F41" i="10"/>
  <c r="F40" i="10" l="1"/>
  <c r="F39" i="10"/>
  <c r="F43" i="10" s="1"/>
  <c r="G27" i="10"/>
  <c r="H15" i="10"/>
  <c r="H17" i="10" s="1"/>
  <c r="H24" i="10" s="1"/>
  <c r="G32" i="10"/>
  <c r="G41" i="10"/>
  <c r="G39" i="10" l="1"/>
  <c r="G43" i="10" s="1"/>
  <c r="G40" i="10"/>
  <c r="H27" i="10"/>
  <c r="I15" i="10"/>
  <c r="I17" i="10" s="1"/>
  <c r="I24" i="10" s="1"/>
  <c r="H32" i="10"/>
  <c r="H41" i="10"/>
  <c r="F44" i="10"/>
  <c r="D65" i="1" s="1"/>
  <c r="D90" i="1"/>
  <c r="D12" i="1" s="1"/>
  <c r="D91" i="1" l="1"/>
  <c r="D48" i="1" s="1"/>
  <c r="F45" i="10"/>
  <c r="E74" i="29"/>
  <c r="E54" i="29"/>
  <c r="H40" i="10"/>
  <c r="H39" i="10"/>
  <c r="H43" i="10" s="1"/>
  <c r="D83" i="1"/>
  <c r="D11" i="1"/>
  <c r="J15" i="10"/>
  <c r="J17" i="10" s="1"/>
  <c r="J24" i="10" s="1"/>
  <c r="I32" i="10"/>
  <c r="I41" i="10"/>
  <c r="G44" i="10"/>
  <c r="E65" i="1" s="1"/>
  <c r="E90" i="1"/>
  <c r="D14" i="1"/>
  <c r="D23" i="1"/>
  <c r="D16" i="1"/>
  <c r="D26" i="1"/>
  <c r="D17" i="1"/>
  <c r="D18" i="1"/>
  <c r="D15" i="1"/>
  <c r="D13" i="1"/>
  <c r="D19" i="1"/>
  <c r="D28" i="1"/>
  <c r="D24" i="1"/>
  <c r="D21" i="1"/>
  <c r="D20" i="1"/>
  <c r="D25" i="1"/>
  <c r="D27" i="1"/>
  <c r="D22" i="1"/>
  <c r="D54" i="1" l="1"/>
  <c r="D47" i="1"/>
  <c r="D38" i="1"/>
  <c r="D44" i="1"/>
  <c r="D42" i="1"/>
  <c r="D49" i="1"/>
  <c r="D39" i="1"/>
  <c r="D41" i="1"/>
  <c r="D51" i="1"/>
  <c r="D46" i="1"/>
  <c r="D50" i="1"/>
  <c r="D52" i="1"/>
  <c r="D43" i="1"/>
  <c r="D40" i="1"/>
  <c r="D55" i="1"/>
  <c r="D45" i="1"/>
  <c r="D53" i="1"/>
  <c r="G45" i="10"/>
  <c r="E91" i="1"/>
  <c r="E52" i="1" s="1"/>
  <c r="H44" i="10"/>
  <c r="F65" i="1" s="1"/>
  <c r="F90" i="1"/>
  <c r="I39" i="10"/>
  <c r="I43" i="10" s="1"/>
  <c r="I40" i="10"/>
  <c r="F54" i="29"/>
  <c r="J32" i="10"/>
  <c r="J41" i="10"/>
  <c r="F74" i="29"/>
  <c r="D29" i="1"/>
  <c r="E23" i="1"/>
  <c r="E26" i="1"/>
  <c r="E14" i="1"/>
  <c r="E24" i="1"/>
  <c r="E16" i="1"/>
  <c r="E19" i="1"/>
  <c r="E12" i="1"/>
  <c r="E18" i="1"/>
  <c r="E27" i="1"/>
  <c r="E20" i="1"/>
  <c r="E22" i="1"/>
  <c r="E13" i="1"/>
  <c r="E28" i="1"/>
  <c r="E17" i="1"/>
  <c r="E25" i="1"/>
  <c r="E15" i="1"/>
  <c r="E21" i="1"/>
  <c r="E75" i="29"/>
  <c r="J13" i="1"/>
  <c r="E83" i="1"/>
  <c r="E11" i="1"/>
  <c r="D56" i="1" l="1"/>
  <c r="E44" i="1"/>
  <c r="E45" i="1"/>
  <c r="E53" i="1"/>
  <c r="E40" i="1"/>
  <c r="E50" i="1"/>
  <c r="E49" i="1"/>
  <c r="E47" i="1"/>
  <c r="E48" i="1"/>
  <c r="E38" i="1"/>
  <c r="E43" i="1"/>
  <c r="E54" i="1"/>
  <c r="E55" i="1"/>
  <c r="H45" i="10"/>
  <c r="E42" i="1"/>
  <c r="E46" i="1"/>
  <c r="E41" i="1"/>
  <c r="E39" i="1"/>
  <c r="E51" i="1"/>
  <c r="F91" i="1"/>
  <c r="F47" i="1" s="1"/>
  <c r="J40" i="10"/>
  <c r="J39" i="10"/>
  <c r="J43" i="10" s="1"/>
  <c r="G90" i="1"/>
  <c r="I44" i="10"/>
  <c r="G65" i="1" s="1"/>
  <c r="G54" i="29"/>
  <c r="F12" i="1"/>
  <c r="F17" i="1"/>
  <c r="F23" i="1"/>
  <c r="F24" i="1"/>
  <c r="F27" i="1"/>
  <c r="F13" i="1"/>
  <c r="F16" i="1"/>
  <c r="F18" i="1"/>
  <c r="F21" i="1"/>
  <c r="F15" i="1"/>
  <c r="F26" i="1"/>
  <c r="F20" i="1"/>
  <c r="F28" i="1"/>
  <c r="F19" i="1"/>
  <c r="F25" i="1"/>
  <c r="F14" i="1"/>
  <c r="F22" i="1"/>
  <c r="J18" i="1"/>
  <c r="J16" i="1"/>
  <c r="J27" i="1"/>
  <c r="J17" i="1"/>
  <c r="J24" i="1"/>
  <c r="J28" i="1"/>
  <c r="J26" i="1"/>
  <c r="J22" i="1"/>
  <c r="J21" i="1"/>
  <c r="J20" i="1"/>
  <c r="J15" i="1"/>
  <c r="J25" i="1"/>
  <c r="J23" i="1"/>
  <c r="J12" i="1"/>
  <c r="J14" i="1"/>
  <c r="J19" i="1"/>
  <c r="J65" i="1"/>
  <c r="J83" i="1" s="1"/>
  <c r="F83" i="1"/>
  <c r="F11" i="1"/>
  <c r="J11" i="1"/>
  <c r="F75" i="29"/>
  <c r="E29" i="1"/>
  <c r="J44" i="1" l="1"/>
  <c r="E56" i="1"/>
  <c r="J43" i="1"/>
  <c r="J41" i="1"/>
  <c r="J55" i="1"/>
  <c r="J42" i="1"/>
  <c r="J49" i="1"/>
  <c r="J46" i="1"/>
  <c r="J51" i="1"/>
  <c r="I45" i="10"/>
  <c r="J54" i="1"/>
  <c r="J48" i="1"/>
  <c r="J50" i="1"/>
  <c r="J39" i="1"/>
  <c r="J38" i="1"/>
  <c r="F38" i="1"/>
  <c r="J52" i="1"/>
  <c r="J53" i="1"/>
  <c r="J40" i="1"/>
  <c r="J47" i="1"/>
  <c r="J45" i="1"/>
  <c r="G91" i="1"/>
  <c r="G41" i="1" s="1"/>
  <c r="E76" i="29"/>
  <c r="F43" i="1"/>
  <c r="F45" i="1"/>
  <c r="F44" i="1"/>
  <c r="F42" i="1"/>
  <c r="F40" i="1"/>
  <c r="F51" i="1"/>
  <c r="F41" i="1"/>
  <c r="F55" i="1"/>
  <c r="F50" i="1"/>
  <c r="F39" i="1"/>
  <c r="F49" i="1"/>
  <c r="F52" i="1"/>
  <c r="F46" i="1"/>
  <c r="F54" i="1"/>
  <c r="F53" i="1"/>
  <c r="F48" i="1"/>
  <c r="J44" i="10"/>
  <c r="H65" i="1" s="1"/>
  <c r="H90" i="1"/>
  <c r="H91" i="1"/>
  <c r="G74" i="29"/>
  <c r="I54" i="29"/>
  <c r="G11" i="1"/>
  <c r="G83" i="1"/>
  <c r="J29" i="1"/>
  <c r="G21" i="1"/>
  <c r="G22" i="1"/>
  <c r="G26" i="1"/>
  <c r="G20" i="1"/>
  <c r="G28" i="1"/>
  <c r="G18" i="1"/>
  <c r="G25" i="1"/>
  <c r="G15" i="1"/>
  <c r="G16" i="1"/>
  <c r="G24" i="1"/>
  <c r="G23" i="1"/>
  <c r="G12" i="1"/>
  <c r="G14" i="1"/>
  <c r="G19" i="1"/>
  <c r="G13" i="1"/>
  <c r="G17" i="1"/>
  <c r="G27" i="1"/>
  <c r="H54" i="29"/>
  <c r="F29" i="1"/>
  <c r="J45" i="10" l="1"/>
  <c r="K40" i="1"/>
  <c r="J56" i="1"/>
  <c r="G40" i="1"/>
  <c r="G51" i="1"/>
  <c r="G49" i="1"/>
  <c r="G38" i="1"/>
  <c r="G48" i="1"/>
  <c r="G43" i="1"/>
  <c r="G47" i="1"/>
  <c r="G44" i="1"/>
  <c r="G54" i="1"/>
  <c r="G46" i="1"/>
  <c r="G53" i="1"/>
  <c r="G45" i="1"/>
  <c r="G50" i="1"/>
  <c r="G55" i="1"/>
  <c r="D84" i="1"/>
  <c r="G42" i="1"/>
  <c r="G52" i="1"/>
  <c r="G39" i="1"/>
  <c r="E84" i="1"/>
  <c r="F56" i="1"/>
  <c r="H55" i="1"/>
  <c r="H41" i="1"/>
  <c r="H54" i="1"/>
  <c r="H39" i="1"/>
  <c r="H48" i="1"/>
  <c r="H44" i="1"/>
  <c r="H52" i="1"/>
  <c r="H46" i="1"/>
  <c r="H42" i="1"/>
  <c r="H50" i="1"/>
  <c r="H49" i="1"/>
  <c r="H40" i="1"/>
  <c r="H51" i="1"/>
  <c r="H45" i="1"/>
  <c r="H43" i="1"/>
  <c r="H53" i="1"/>
  <c r="H47" i="1"/>
  <c r="K44" i="1"/>
  <c r="K48" i="1"/>
  <c r="K51" i="1"/>
  <c r="K54" i="1"/>
  <c r="K55" i="1"/>
  <c r="K49" i="1"/>
  <c r="K52" i="1"/>
  <c r="K53" i="1"/>
  <c r="H74" i="29"/>
  <c r="K46" i="1"/>
  <c r="K42" i="1"/>
  <c r="G75" i="29"/>
  <c r="K39" i="1"/>
  <c r="K11" i="1"/>
  <c r="H28" i="1"/>
  <c r="H24" i="1"/>
  <c r="H17" i="1"/>
  <c r="H19" i="1"/>
  <c r="H13" i="1"/>
  <c r="H26" i="1"/>
  <c r="H23" i="1"/>
  <c r="H27" i="1"/>
  <c r="H14" i="1"/>
  <c r="H25" i="1"/>
  <c r="H22" i="1"/>
  <c r="H15" i="1"/>
  <c r="H12" i="1"/>
  <c r="H21" i="1"/>
  <c r="H20" i="1"/>
  <c r="H16" i="1"/>
  <c r="H18" i="1"/>
  <c r="K24" i="1"/>
  <c r="K28" i="1"/>
  <c r="K17" i="1"/>
  <c r="K12" i="1"/>
  <c r="K14" i="1"/>
  <c r="K18" i="1"/>
  <c r="K16" i="1"/>
  <c r="K13" i="1"/>
  <c r="K20" i="1"/>
  <c r="K15" i="1"/>
  <c r="K23" i="1"/>
  <c r="K27" i="1"/>
  <c r="K21" i="1"/>
  <c r="K26" i="1"/>
  <c r="K22" i="1"/>
  <c r="K25" i="1"/>
  <c r="K19" i="1"/>
  <c r="G29" i="1"/>
  <c r="K50" i="1"/>
  <c r="H83" i="1"/>
  <c r="H11" i="1"/>
  <c r="H38" i="1"/>
  <c r="K65" i="1"/>
  <c r="K83" i="1" s="1"/>
  <c r="K38" i="1"/>
  <c r="K45" i="1"/>
  <c r="K43" i="1"/>
  <c r="D85" i="1"/>
  <c r="I74" i="29"/>
  <c r="D30" i="1"/>
  <c r="K41" i="1"/>
  <c r="K47" i="1"/>
  <c r="E77" i="29"/>
  <c r="E78" i="29" s="1"/>
  <c r="E57" i="29"/>
  <c r="G56" i="1" l="1"/>
  <c r="E85" i="1"/>
  <c r="E57" i="1" s="1"/>
  <c r="F76" i="29"/>
  <c r="F57" i="29" s="1"/>
  <c r="E58" i="29"/>
  <c r="K56" i="1"/>
  <c r="H56" i="1"/>
  <c r="H29" i="1"/>
  <c r="H75" i="29"/>
  <c r="E30" i="1"/>
  <c r="I75" i="29"/>
  <c r="K29" i="1"/>
  <c r="D57" i="1"/>
  <c r="E60" i="29" l="1"/>
  <c r="E70" i="29" s="1"/>
  <c r="D86" i="1" s="1"/>
  <c r="D31" i="1" s="1"/>
  <c r="F77" i="29"/>
  <c r="F78" i="29" s="1"/>
  <c r="G85" i="1"/>
  <c r="D32" i="1" l="1"/>
  <c r="E72" i="29"/>
  <c r="D87" i="1" s="1"/>
  <c r="G84" i="1"/>
  <c r="H76" i="29"/>
  <c r="H77" i="29" s="1"/>
  <c r="H78" i="29" s="1"/>
  <c r="G76" i="29"/>
  <c r="F84" i="1"/>
  <c r="G30" i="1" l="1"/>
  <c r="D58" i="1"/>
  <c r="D59" i="1" s="1"/>
  <c r="D88" i="1"/>
  <c r="G57" i="1"/>
  <c r="H57" i="29"/>
  <c r="F85" i="1"/>
  <c r="J57" i="1" s="1"/>
  <c r="J30" i="1"/>
  <c r="J84" i="1"/>
  <c r="F30" i="1"/>
  <c r="G77" i="29"/>
  <c r="G78" i="29" s="1"/>
  <c r="G57" i="29"/>
  <c r="H58" i="29" l="1"/>
  <c r="G58" i="29"/>
  <c r="J85" i="1"/>
  <c r="F57" i="1"/>
  <c r="H84" i="1"/>
  <c r="I76" i="29"/>
  <c r="H60" i="29" l="1"/>
  <c r="H70" i="29" s="1"/>
  <c r="H72" i="29" s="1"/>
  <c r="G87" i="1" s="1"/>
  <c r="G60" i="29"/>
  <c r="G70" i="29" s="1"/>
  <c r="F86" i="1" s="1"/>
  <c r="K30" i="1"/>
  <c r="K84" i="1"/>
  <c r="H30" i="1"/>
  <c r="I77" i="29"/>
  <c r="I78" i="29" s="1"/>
  <c r="I57" i="29"/>
  <c r="H85" i="1"/>
  <c r="G86" i="1" l="1"/>
  <c r="G58" i="1" s="1"/>
  <c r="G59" i="1" s="1"/>
  <c r="G72" i="29"/>
  <c r="F87" i="1" s="1"/>
  <c r="F58" i="1" s="1"/>
  <c r="F59" i="1" s="1"/>
  <c r="G88" i="1"/>
  <c r="I58" i="29"/>
  <c r="F31" i="1"/>
  <c r="K85" i="1"/>
  <c r="H57" i="1"/>
  <c r="K57" i="1"/>
  <c r="G31" i="1" l="1"/>
  <c r="G32" i="1" s="1"/>
  <c r="F88" i="1"/>
  <c r="F32" i="1"/>
  <c r="I60" i="29"/>
  <c r="I70" i="29" s="1"/>
  <c r="H86" i="1" s="1"/>
  <c r="I72" i="29" l="1"/>
  <c r="H87" i="1" s="1"/>
  <c r="H31" i="1"/>
  <c r="H32" i="1" l="1"/>
  <c r="H88" i="1"/>
  <c r="H58" i="1"/>
  <c r="H59" i="1" s="1"/>
  <c r="F20" i="29" l="1"/>
  <c r="F41" i="29" l="1"/>
  <c r="F44" i="29" s="1"/>
  <c r="F48" i="29" l="1"/>
  <c r="F68" i="29" s="1"/>
  <c r="F56" i="29"/>
  <c r="F103" i="4"/>
  <c r="F58" i="29" l="1"/>
  <c r="F104" i="4"/>
  <c r="F107" i="4"/>
  <c r="F108" i="4" s="1"/>
  <c r="F60" i="29" l="1"/>
  <c r="F70" i="29" s="1"/>
  <c r="E86" i="1" s="1"/>
  <c r="E31" i="1" s="1"/>
  <c r="E32" i="1" s="1"/>
  <c r="J86" i="1" l="1"/>
  <c r="J31" i="1"/>
  <c r="J32" i="1" s="1"/>
  <c r="K86" i="1"/>
  <c r="K31" i="1"/>
  <c r="K32" i="1" s="1"/>
  <c r="F72" i="29"/>
  <c r="E87" i="1" s="1"/>
  <c r="E88" i="1" s="1"/>
  <c r="J58" i="1"/>
  <c r="J59" i="1" s="1"/>
  <c r="J87" i="1" l="1"/>
  <c r="J88" i="1" s="1"/>
  <c r="K58" i="1"/>
  <c r="K59" i="1" s="1"/>
  <c r="E58" i="1"/>
  <c r="E59" i="1" s="1"/>
  <c r="K87" i="1"/>
  <c r="K88" i="1" s="1"/>
  <c r="J52" i="35" l="1"/>
  <c r="K52" i="35" s="1"/>
  <c r="J51" i="35"/>
  <c r="K51" i="35" s="1"/>
  <c r="J60" i="35"/>
  <c r="K60" i="35" s="1"/>
  <c r="J66" i="35" l="1"/>
  <c r="K66" i="35" s="1"/>
  <c r="J67" i="35"/>
  <c r="K67" i="35" s="1"/>
  <c r="J61" i="35"/>
  <c r="K61" i="35" s="1"/>
  <c r="J53" i="35"/>
  <c r="K53" i="35" s="1"/>
  <c r="J50" i="35"/>
  <c r="K50" i="35" s="1"/>
  <c r="J87" i="35" l="1"/>
  <c r="K87" i="35" s="1"/>
  <c r="J64" i="35"/>
  <c r="K64" i="35" s="1"/>
  <c r="J65" i="35"/>
  <c r="K65" i="35" s="1"/>
  <c r="J62" i="35"/>
  <c r="K62" i="35" s="1"/>
  <c r="J77" i="35" l="1"/>
  <c r="J75" i="35"/>
  <c r="K75" i="35" s="1"/>
  <c r="J73" i="35"/>
  <c r="K73" i="35" s="1"/>
  <c r="J72" i="35" l="1"/>
  <c r="K72" i="35" s="1"/>
  <c r="J71" i="35"/>
  <c r="K71" i="35" s="1"/>
  <c r="J55" i="35"/>
  <c r="K55" i="35" s="1"/>
  <c r="J100" i="35"/>
  <c r="K100" i="35" s="1"/>
  <c r="J24" i="35" l="1"/>
  <c r="J25" i="35"/>
  <c r="H22" i="35" l="1"/>
  <c r="H31" i="35" s="1"/>
  <c r="H44" i="35" s="1"/>
  <c r="H91" i="35" s="1"/>
  <c r="H103" i="35" s="1"/>
  <c r="H105" i="35" s="1"/>
  <c r="H108" i="35" s="1"/>
  <c r="J16" i="35"/>
  <c r="D22" i="35" l="1"/>
  <c r="D31" i="35" l="1"/>
  <c r="J22" i="35"/>
  <c r="D44" i="35" l="1"/>
  <c r="J31" i="35"/>
  <c r="K31" i="35" s="1"/>
  <c r="J44" i="35" l="1"/>
  <c r="K44" i="35" l="1"/>
  <c r="J83" i="35" l="1"/>
  <c r="K83" i="35" s="1"/>
  <c r="J88" i="35"/>
  <c r="K88" i="35" s="1"/>
  <c r="J82" i="35" l="1"/>
  <c r="D91" i="35"/>
  <c r="D103" i="35" s="1"/>
  <c r="D105" i="35" l="1"/>
  <c r="J103" i="35"/>
  <c r="K103" i="35" s="1"/>
  <c r="K82" i="35"/>
  <c r="J91" i="35"/>
  <c r="K91" i="35" s="1"/>
  <c r="D108" i="35" l="1"/>
  <c r="J108" i="35" s="1"/>
  <c r="J105" i="35"/>
  <c r="K105" i="35" s="1"/>
  <c r="H23" i="19" l="1"/>
  <c r="G23" i="19"/>
  <c r="F23" i="19"/>
  <c r="E23" i="19"/>
  <c r="D23" i="19"/>
  <c r="F174" i="2" l="1"/>
  <c r="F168" i="2" l="1"/>
  <c r="F157" i="2" l="1"/>
  <c r="G75" i="4" l="1"/>
  <c r="G78" i="4"/>
  <c r="F169" i="2"/>
  <c r="F171" i="2" s="1"/>
  <c r="F205" i="2" l="1"/>
  <c r="F207" i="2" s="1"/>
  <c r="F175" i="2"/>
  <c r="G79" i="4"/>
  <c r="G82" i="4"/>
  <c r="G94" i="4" s="1"/>
  <c r="G107" i="4" s="1"/>
  <c r="G10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<sst xmlns="http://schemas.openxmlformats.org/spreadsheetml/2006/main" count="2907" uniqueCount="1256">
  <si>
    <t>Regulatory Financial Performance Report</t>
  </si>
  <si>
    <t xml:space="preserve">                           </t>
  </si>
  <si>
    <t>RIIO-2 start date (enter 2022 for 2021-22)</t>
  </si>
  <si>
    <t>Licensee</t>
  </si>
  <si>
    <t>Cadent-WM</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</si>
  <si>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</si>
  <si>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</si>
  <si>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</si>
  <si>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</si>
  <si>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</si>
  <si>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</si>
  <si>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</si>
  <si>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</si>
  <si>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</si>
  <si>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</si>
  <si>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</si>
  <si>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</si>
  <si>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</si>
  <si>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</si>
  <si>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</si>
  <si>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</si>
  <si>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</si>
  <si>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</si>
  <si>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</si>
  <si>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</si>
  <si>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</si>
  <si>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</si>
  <si>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</si>
  <si>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</si>
  <si>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</si>
  <si>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</si>
  <si>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</si>
  <si>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</si>
  <si>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</si>
  <si>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</si>
  <si>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</si>
  <si>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</si>
  <si>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</si>
  <si>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</si>
  <si>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</si>
  <si>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</si>
  <si>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</si>
  <si>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</si>
  <si>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</si>
  <si>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</si>
  <si>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</si>
  <si>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</si>
  <si>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</si>
  <si>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</si>
  <si>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</si>
  <si>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</si>
  <si>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</si>
  <si>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</si>
  <si>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</si>
  <si>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</si>
  <si>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</si>
  <si>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</si>
  <si>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</si>
  <si>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</si>
  <si>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</si>
  <si>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</si>
  <si>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</si>
  <si>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</si>
  <si>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</si>
  <si>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</si>
  <si>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</si>
  <si>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</si>
  <si>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</si>
  <si>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</si>
  <si>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</si>
  <si>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</si>
  <si>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</si>
  <si>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</si>
  <si>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</si>
  <si>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</si>
  <si>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</si>
  <si>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</si>
  <si>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</si>
  <si>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</si>
  <si>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</si>
  <si>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</si>
  <si>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</si>
  <si>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</si>
  <si>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</si>
  <si>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</si>
  <si>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</si>
  <si>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</si>
  <si>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</si>
  <si>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</si>
  <si>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</si>
  <si>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</si>
  <si>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</si>
  <si>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</si>
  <si>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</si>
  <si>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</si>
  <si>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</si>
  <si>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</si>
  <si>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</si>
  <si>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</si>
  <si>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</si>
  <si>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</si>
  <si>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</si>
  <si>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</si>
  <si>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</si>
  <si>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</si>
  <si>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</si>
  <si>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</si>
  <si>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</si>
  <si>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</si>
  <si>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</si>
  <si>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</si>
  <si>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</si>
  <si>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</si>
  <si>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</si>
  <si>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</si>
  <si>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</si>
  <si>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</si>
  <si>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</si>
  <si>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</si>
  <si>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</si>
  <si>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</si>
  <si>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</si>
  <si>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</si>
  <si>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</si>
  <si>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</si>
  <si>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</si>
  <si>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</si>
  <si>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</si>
  <si>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</si>
  <si>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</si>
  <si>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</si>
  <si>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</si>
  <si>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</si>
  <si>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</si>
  <si>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</si>
  <si>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</si>
  <si>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</si>
  <si>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</si>
  <si>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</si>
  <si>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</si>
  <si>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</si>
  <si>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</si>
  <si>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</si>
  <si>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</si>
  <si>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</si>
  <si>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</si>
  <si>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</si>
  <si>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</si>
  <si>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</si>
  <si>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</si>
  <si>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</si>
  <si>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</si>
  <si>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</si>
  <si>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</si>
  <si>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</si>
  <si>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</si>
  <si>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</si>
  <si>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</si>
  <si>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</si>
  <si>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</si>
  <si>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</si>
  <si>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</si>
  <si>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</si>
  <si>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</si>
  <si>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</si>
  <si>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</si>
  <si>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</si>
  <si>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</si>
  <si>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</si>
  <si>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</si>
  <si>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</si>
  <si>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</si>
  <si>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</si>
  <si>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</si>
  <si>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</si>
  <si>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</si>
  <si>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</si>
  <si>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</si>
  <si>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</si>
  <si>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</si>
  <si>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</si>
  <si>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</si>
  <si>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</si>
  <si>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</si>
  <si>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</si>
  <si>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</si>
  <si>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</si>
  <si>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</si>
  <si>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</si>
  <si>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</si>
  <si>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</si>
  <si>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</si>
  <si>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</si>
  <si>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</si>
  <si>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</si>
  <si>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</si>
  <si>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</si>
  <si>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</si>
  <si>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</si>
  <si>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</si>
  <si>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</si>
  <si>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</si>
  <si>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</si>
  <si>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</si>
  <si>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</si>
  <si>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</si>
  <si>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</si>
  <si>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</si>
  <si>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</si>
  <si>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</si>
  <si>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</si>
  <si>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</si>
  <si>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</si>
  <si>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</si>
  <si>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</si>
  <si>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</si>
  <si>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</si>
  <si>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</si>
  <si>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</si>
  <si>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</si>
  <si>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</si>
  <si>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</si>
  <si>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</si>
  <si>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</si>
  <si>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</si>
  <si>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</si>
  <si>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</si>
  <si>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</si>
  <si>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</si>
  <si>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</si>
  <si>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</si>
  <si>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</si>
  <si>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</si>
  <si>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</si>
  <si>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</si>
  <si>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</si>
  <si>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</si>
  <si>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</si>
  <si>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</si>
  <si>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</si>
  <si>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</si>
  <si>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</si>
  <si>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</si>
  <si>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</si>
  <si>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</si>
  <si>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</si>
  <si>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</si>
  <si>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</si>
  <si>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</si>
  <si>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</si>
  <si>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</si>
  <si>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</si>
  <si>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</si>
  <si>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</si>
  <si>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</si>
  <si>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</si>
  <si>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</si>
  <si>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</si>
  <si>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</si>
  <si>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</si>
  <si>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</si>
  <si>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</si>
  <si>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</si>
  <si>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</si>
  <si>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</si>
  <si>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</si>
  <si>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</si>
  <si>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</si>
  <si>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</si>
  <si>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</si>
  <si>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</si>
  <si>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</si>
  <si>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</si>
  <si>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</si>
  <si>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</si>
  <si>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</si>
  <si>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</si>
  <si>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</si>
  <si>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</si>
  <si>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</si>
  <si>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</si>
  <si>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</si>
  <si>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</si>
  <si>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</si>
  <si>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</si>
  <si>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</si>
  <si>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</si>
  <si>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</si>
  <si>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</si>
  <si>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</si>
  <si>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</si>
  <si>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</si>
  <si>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</si>
  <si>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</si>
  <si>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</si>
  <si>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</si>
  <si>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</si>
  <si>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</si>
  <si>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</si>
  <si>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</si>
  <si>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</si>
  <si>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</si>
  <si>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</si>
  <si>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</si>
  <si>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</si>
  <si>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</si>
  <si>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</si>
  <si>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</si>
  <si>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</si>
  <si>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</si>
  <si>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</si>
  <si>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</si>
  <si>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</si>
  <si>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</si>
  <si>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</si>
  <si>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</si>
  <si>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</si>
  <si>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</si>
  <si>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</si>
  <si>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</si>
  <si>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</si>
  <si>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</si>
  <si>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</si>
  <si>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</si>
  <si>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</si>
  <si>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</si>
  <si>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</si>
  <si>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</si>
  <si>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</si>
  <si>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</si>
  <si>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</si>
  <si>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</si>
  <si>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</si>
  <si>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</si>
  <si>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</si>
  <si>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</si>
  <si>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</si>
  <si>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</si>
  <si>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</si>
  <si>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</si>
  <si>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</si>
  <si>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</si>
  <si>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</si>
  <si>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</si>
  <si>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</si>
  <si>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</si>
  <si>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</si>
  <si>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</si>
  <si>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</si>
  <si>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</si>
  <si>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</si>
  <si>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</si>
  <si>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</si>
  <si>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</si>
  <si>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</si>
  <si>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</si>
  <si>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</si>
  <si>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</si>
  <si>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</si>
  <si>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</si>
  <si>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</si>
  <si>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</si>
  <si>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</si>
  <si>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</si>
  <si>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</si>
  <si>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</si>
  <si>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</si>
  <si>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</si>
  <si>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</si>
  <si>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</si>
  <si>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</si>
  <si>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</si>
  <si>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</si>
  <si>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</si>
  <si>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</si>
  <si>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</si>
  <si>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</si>
  <si>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</si>
  <si>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</si>
  <si>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</si>
  <si>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</si>
  <si>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</si>
  <si>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</si>
  <si>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</si>
  <si>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</si>
  <si>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</si>
  <si>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</si>
  <si>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</si>
  <si>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</si>
  <si>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</si>
  <si>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</si>
  <si>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</si>
  <si>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</si>
  <si>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</si>
  <si>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</si>
  <si>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</si>
  <si>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</si>
  <si>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</si>
  <si>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</si>
  <si>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</si>
  <si>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</si>
  <si>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</si>
  <si>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</si>
  <si>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</si>
  <si>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</si>
  <si>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</si>
  <si>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</si>
  <si>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</si>
  <si>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</si>
  <si>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</si>
  <si>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</si>
  <si>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</si>
  <si>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</si>
  <si>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</si>
  <si>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</si>
  <si>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</si>
  <si>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</si>
  <si>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</si>
  <si>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</si>
  <si>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</si>
  <si>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</si>
  <si>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</si>
  <si>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</si>
  <si>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</si>
  <si>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</si>
  <si>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</si>
  <si>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</si>
  <si>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</si>
  <si>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</si>
  <si>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</si>
  <si>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</si>
  <si>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</si>
  <si>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</si>
  <si>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</si>
  <si>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</si>
  <si>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</si>
  <si>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</si>
  <si>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</si>
  <si>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</si>
  <si>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</si>
  <si>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</si>
  <si>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</si>
  <si>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</si>
  <si>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</si>
  <si>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</si>
  <si>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</si>
  <si>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</si>
  <si>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</si>
  <si>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</si>
  <si>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</si>
  <si>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</si>
  <si>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</si>
  <si>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</si>
  <si>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</si>
  <si>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</si>
  <si>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</si>
  <si>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</si>
  <si>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</si>
  <si>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</si>
  <si>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</si>
  <si>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</si>
  <si>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</si>
  <si>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</si>
  <si>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</si>
  <si>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</si>
  <si>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</si>
  <si>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</si>
  <si>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</si>
  <si>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</si>
  <si>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</si>
  <si>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</si>
  <si>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</si>
  <si>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</si>
  <si>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</si>
  <si>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</si>
  <si>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</si>
  <si>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</si>
  <si>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</si>
  <si>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</si>
  <si>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</si>
  <si>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</si>
  <si>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</si>
  <si>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</si>
  <si>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</si>
  <si>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</si>
  <si>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</si>
  <si>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</si>
  <si>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</si>
  <si>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</si>
  <si>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</si>
  <si>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</si>
  <si>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</si>
  <si>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</si>
  <si>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</si>
  <si>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</si>
  <si>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</si>
  <si>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</si>
  <si>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</si>
  <si>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</si>
  <si>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</si>
  <si>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</si>
  <si>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</si>
  <si>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</si>
  <si>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</si>
  <si>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</si>
  <si>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</si>
  <si>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</si>
  <si>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</si>
  <si>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</si>
  <si>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</si>
  <si>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</si>
  <si>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</si>
  <si>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</si>
  <si>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</si>
  <si>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</si>
  <si>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</si>
  <si>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</si>
  <si>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</si>
  <si>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</si>
  <si>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</si>
  <si>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</si>
  <si>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</si>
  <si>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</si>
  <si>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</si>
  <si>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</si>
  <si>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</si>
  <si>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</si>
  <si>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</si>
  <si>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</si>
  <si>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</si>
  <si>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</si>
  <si>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</si>
  <si>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</si>
  <si>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</si>
  <si>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</si>
  <si>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</si>
  <si>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</si>
  <si>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</si>
  <si>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</si>
  <si>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</si>
  <si>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</si>
  <si>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</si>
  <si>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</si>
  <si>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</si>
  <si>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</si>
  <si>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</si>
  <si>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</si>
  <si>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</si>
  <si>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</si>
  <si>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</si>
  <si>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</si>
  <si>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</si>
  <si>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</si>
  <si>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</si>
  <si>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</si>
  <si>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</si>
  <si>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</si>
  <si>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</si>
  <si>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</si>
  <si>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</si>
  <si>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</si>
  <si>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</si>
  <si>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</si>
  <si>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</si>
  <si>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</si>
  <si>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</si>
  <si>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</si>
  <si>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</si>
  <si>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</si>
  <si>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</si>
  <si>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</si>
  <si>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</si>
  <si>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</si>
  <si>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</si>
  <si>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</si>
  <si>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</si>
  <si>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</si>
  <si>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</si>
  <si>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</si>
  <si>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</si>
  <si>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</si>
  <si>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</si>
  <si>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</si>
  <si>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</si>
  <si>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</si>
  <si>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</si>
  <si>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</si>
  <si>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</si>
  <si>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</si>
  <si>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</si>
  <si>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</si>
  <si>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</si>
  <si>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</si>
  <si>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</si>
  <si>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</si>
  <si>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</si>
  <si>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</si>
  <si>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</si>
  <si>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</si>
  <si>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</si>
  <si>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</si>
  <si>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</si>
  <si>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</si>
  <si>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</si>
  <si>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</si>
  <si>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</si>
  <si>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</si>
  <si>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</si>
  <si>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</si>
  <si>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</si>
  <si>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</si>
  <si>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</si>
  <si>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</si>
  <si>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</si>
  <si>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</si>
  <si>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</si>
  <si>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[Input description, add additional rows as required]</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</si>
  <si>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</si>
  <si>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</si>
  <si>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</si>
  <si>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</si>
  <si>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</si>
  <si>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</si>
  <si>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</si>
  <si>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</si>
  <si>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</si>
  <si>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</si>
  <si>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</si>
  <si>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</si>
  <si>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</si>
  <si>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</si>
  <si>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</si>
  <si>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</si>
  <si>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</si>
  <si>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</si>
  <si>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</si>
  <si>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</si>
  <si>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</si>
  <si>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</si>
  <si>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</si>
  <si>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</si>
  <si>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</si>
  <si>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</si>
  <si>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</si>
  <si>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</si>
  <si>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</si>
  <si>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</si>
  <si>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</si>
  <si>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</si>
  <si>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</si>
  <si>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</si>
  <si>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</si>
  <si>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</si>
  <si>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</si>
  <si>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</si>
  <si>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</si>
  <si>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</si>
  <si>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</si>
  <si>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</si>
  <si>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</si>
  <si>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</si>
  <si>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</si>
  <si>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</si>
  <si>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</si>
  <si>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</si>
  <si>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</si>
  <si>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</si>
  <si>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</si>
  <si>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</si>
  <si>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</si>
  <si>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</si>
  <si>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</si>
  <si>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</si>
  <si>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</si>
  <si>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</si>
  <si>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</si>
  <si>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</si>
  <si>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</si>
  <si>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</si>
  <si>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</si>
  <si>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</si>
  <si>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</si>
  <si>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</si>
  <si>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</si>
  <si>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</si>
  <si>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</si>
  <si>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</si>
  <si>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</si>
  <si>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</si>
  <si>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</si>
  <si>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</si>
  <si>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</si>
  <si>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</si>
  <si>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</si>
  <si>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</si>
  <si>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</si>
  <si>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</si>
  <si>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</si>
  <si>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</si>
  <si>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</si>
  <si>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</si>
  <si>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</si>
  <si>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</si>
  <si>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</si>
  <si>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</si>
  <si>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</si>
  <si>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</si>
  <si>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</si>
  <si>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</si>
  <si>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</si>
  <si>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</si>
  <si>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</si>
  <si>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</si>
  <si>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</si>
  <si>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</si>
  <si>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</si>
  <si>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</si>
  <si>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</si>
  <si>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</si>
  <si>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</si>
  <si>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</si>
  <si>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</si>
  <si>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</si>
  <si>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</si>
  <si>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</si>
  <si>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</si>
  <si>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</si>
  <si>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</si>
  <si>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</si>
  <si>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</si>
  <si>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</si>
  <si>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</si>
  <si>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</si>
  <si>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</si>
  <si>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</si>
  <si>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</si>
  <si>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</si>
  <si>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</si>
  <si>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</si>
  <si>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</si>
  <si>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</si>
  <si>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</si>
  <si>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</si>
  <si>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</si>
  <si>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</si>
  <si>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</si>
  <si>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</si>
  <si>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</si>
  <si>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</si>
  <si>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</si>
  <si>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</si>
  <si>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</si>
  <si>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</si>
  <si>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</si>
  <si>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</si>
  <si>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</si>
  <si>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</si>
  <si>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</si>
  <si>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</si>
  <si>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</si>
  <si>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</si>
  <si>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</si>
  <si>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</si>
  <si>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</si>
  <si>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</si>
  <si>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</si>
  <si>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</si>
  <si>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</si>
  <si>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</si>
  <si>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</si>
  <si>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</si>
  <si>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</si>
  <si>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</si>
  <si>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</si>
  <si>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</si>
  <si>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</si>
  <si>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</si>
  <si>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</si>
  <si>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</si>
  <si>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</si>
  <si>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</si>
  <si>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</si>
  <si>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</si>
  <si>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</si>
  <si>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</si>
  <si>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</si>
  <si>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</si>
  <si>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</si>
  <si>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</si>
  <si>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</si>
  <si>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</si>
  <si>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</si>
  <si>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</si>
  <si>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</si>
  <si>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</si>
  <si>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</si>
  <si>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</si>
  <si>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</si>
  <si>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</si>
  <si>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</si>
  <si>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</si>
  <si>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</si>
  <si>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</si>
  <si>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</si>
  <si>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</si>
  <si>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</si>
  <si>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</si>
  <si>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</si>
  <si>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</si>
  <si>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</si>
  <si>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</si>
  <si>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</si>
  <si>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</si>
  <si>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</si>
  <si>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</si>
  <si>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</si>
  <si>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</si>
  <si>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</si>
  <si>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</si>
  <si>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</si>
  <si>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</si>
  <si>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</si>
  <si>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</si>
  <si>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</si>
  <si>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</si>
  <si>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</si>
  <si>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</si>
  <si>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</si>
  <si>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</si>
  <si>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</si>
  <si>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</si>
  <si>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</si>
  <si>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</si>
  <si>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</si>
  <si>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</si>
  <si>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</si>
  <si>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</si>
  <si>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</si>
  <si>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</si>
  <si>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</si>
  <si>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</si>
  <si>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</si>
  <si>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</si>
  <si>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</si>
  <si>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</si>
  <si>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</si>
  <si>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</si>
  <si>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</si>
  <si>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</si>
  <si>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</si>
  <si>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</si>
  <si>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</si>
  <si>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</si>
  <si>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</si>
  <si>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</si>
  <si>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</si>
  <si>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</si>
  <si>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</si>
  <si>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</si>
  <si>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</si>
  <si>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</si>
  <si>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</si>
  <si>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</si>
  <si>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</si>
  <si>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</si>
  <si>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</si>
  <si>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</si>
  <si>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</si>
  <si>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</si>
  <si>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</si>
  <si>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</si>
  <si>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</si>
  <si>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</si>
  <si>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</si>
  <si>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</si>
  <si>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</si>
  <si>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</si>
  <si>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</si>
  <si>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</si>
  <si>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</si>
  <si>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</si>
  <si>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</si>
  <si>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</si>
  <si>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</si>
  <si>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</si>
  <si>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</si>
  <si>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</si>
  <si>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</si>
  <si>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</si>
  <si>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</si>
  <si>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</si>
  <si>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</si>
  <si>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</si>
  <si>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</si>
  <si>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</si>
  <si>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</si>
  <si>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</si>
  <si>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</si>
  <si>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</si>
  <si>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</si>
  <si>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</si>
  <si>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</si>
  <si>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</si>
  <si>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</si>
  <si>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</si>
  <si>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</si>
  <si>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</si>
  <si>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</si>
  <si>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</si>
  <si>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</si>
  <si>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</si>
  <si>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</si>
  <si>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</si>
  <si>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</si>
  <si>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</si>
  <si>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</si>
  <si>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</si>
  <si>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</si>
  <si>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</si>
  <si>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</si>
  <si>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</si>
  <si>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</si>
  <si>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</si>
  <si>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</si>
  <si>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</si>
  <si>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</si>
  <si>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</si>
  <si>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</si>
  <si>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</si>
  <si>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</si>
  <si>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</si>
  <si>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</si>
  <si>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</si>
  <si>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</si>
  <si>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</si>
  <si>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</si>
  <si>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</si>
  <si>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</si>
  <si>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</si>
  <si>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</si>
  <si>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</si>
  <si>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</si>
  <si>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</si>
  <si>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</si>
  <si>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</si>
  <si>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</si>
  <si>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</si>
  <si>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</si>
  <si>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</si>
  <si>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</si>
  <si>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</si>
  <si>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</si>
  <si>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</si>
  <si>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</si>
  <si>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</si>
  <si>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</si>
  <si>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</si>
  <si>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</si>
  <si>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</si>
  <si>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</si>
  <si>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</si>
  <si>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</si>
  <si>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</si>
  <si>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</si>
  <si>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</si>
  <si>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</si>
  <si>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</si>
  <si>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</si>
  <si>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</si>
  <si>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</si>
  <si>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</si>
  <si>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</si>
  <si>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</si>
  <si>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</si>
  <si>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</si>
  <si>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</si>
  <si>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</si>
  <si>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</si>
  <si>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</si>
  <si>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</si>
  <si>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</si>
  <si>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</si>
  <si>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</si>
  <si>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</si>
  <si>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</si>
  <si>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</si>
  <si>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</si>
  <si>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</si>
  <si>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</si>
  <si>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</si>
  <si>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</si>
  <si>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</si>
  <si>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</si>
  <si>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</si>
  <si>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</si>
  <si>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</si>
  <si>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</si>
  <si>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</si>
  <si>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</si>
  <si>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</si>
  <si>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</si>
  <si>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</si>
  <si>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</si>
  <si>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</si>
  <si>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</si>
  <si>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</si>
  <si>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</si>
  <si>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</si>
  <si>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</si>
  <si>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</si>
  <si>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</si>
  <si>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</si>
  <si>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</si>
  <si>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</si>
  <si>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</si>
  <si>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</si>
  <si>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</si>
  <si>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</si>
  <si>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</si>
  <si>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</si>
  <si>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</si>
  <si>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</si>
  <si>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</si>
  <si>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</si>
  <si>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</si>
  <si>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</si>
  <si>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</si>
  <si>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</si>
  <si>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</si>
  <si>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</si>
  <si>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</si>
  <si>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</si>
  <si>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</si>
  <si>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</si>
  <si>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</si>
  <si>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</si>
  <si>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</si>
  <si>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</si>
  <si>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</si>
  <si>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</si>
  <si>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</si>
  <si>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</si>
  <si>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</si>
  <si>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</si>
  <si>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</si>
  <si>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</si>
  <si>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</si>
  <si>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</si>
  <si>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</si>
  <si>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</si>
  <si>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</si>
  <si>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</si>
  <si>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</si>
  <si>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</si>
  <si>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</si>
  <si>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</si>
  <si>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</si>
  <si>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</si>
  <si>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</si>
  <si>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</si>
  <si>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</si>
  <si>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</si>
  <si>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</si>
  <si>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</si>
  <si>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</si>
  <si>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</si>
  <si>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</si>
  <si>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</si>
  <si>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</si>
  <si>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</si>
  <si>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</si>
  <si>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</si>
  <si>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</si>
  <si>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</si>
  <si>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</si>
  <si>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</si>
  <si>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</si>
  <si>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</si>
  <si>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</si>
  <si>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</si>
  <si>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</si>
  <si>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</si>
  <si>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</si>
  <si>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</si>
  <si>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</si>
  <si>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</si>
  <si>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</si>
  <si>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</si>
  <si>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</si>
  <si>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</si>
  <si>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</si>
  <si>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</si>
  <si>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</si>
  <si>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</si>
  <si>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</si>
  <si>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</si>
  <si>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</si>
  <si>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</si>
  <si>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</si>
  <si>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</si>
  <si>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</si>
  <si>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</si>
  <si>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</si>
  <si>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</si>
  <si>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</si>
  <si>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</si>
  <si>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</si>
  <si>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</si>
  <si>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</si>
  <si>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</si>
  <si>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</si>
  <si>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</si>
  <si>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</si>
  <si>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</si>
  <si>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</si>
  <si>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</si>
  <si>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</si>
  <si>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</si>
  <si>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</si>
  <si>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</si>
  <si>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</si>
  <si>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</si>
  <si>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</si>
  <si>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</si>
  <si>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</si>
  <si>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</si>
  <si>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</si>
  <si>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</si>
  <si>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</si>
  <si>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</si>
  <si>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</si>
  <si>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</si>
  <si>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</si>
  <si>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</si>
  <si>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</si>
  <si>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</si>
  <si>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</si>
  <si>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</si>
  <si>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</si>
  <si>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</si>
  <si>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</si>
  <si>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</si>
  <si>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</si>
  <si>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</si>
  <si>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</si>
  <si>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</si>
  <si>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</si>
  <si>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</si>
  <si>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</si>
  <si>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</si>
  <si>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</si>
  <si>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Manual adjustemnt for pensions credit not included in RRP</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</si>
  <si>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</si>
  <si>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</si>
  <si>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</si>
  <si>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</si>
  <si>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</si>
  <si>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</si>
  <si>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21/22</t>
  </si>
  <si>
    <t xml:space="preserve">The difference of £1,856.6m is explained by:
Revenue not in PCFM of other 3 networks £1,884.2m
SoLR costs of -£74.4m were reclassed to revenue in the statutory accounts to match with the SoLR revenue
Timing differences on revenue collection of £42.2m
Other excluded services of £4.4m
Other adjustments of £0.3m
</t>
  </si>
  <si>
    <t>The difference between the opex in the CT600 and the revenue pool in the PCFM is £722.9m which is explained by:
Costs not in PCFM being other 3 Networks totalling £784.8m 
SoLR costs of -£73.6m were reclassed to revenue in the statutory accounts to match with the SoLR revenue.
Excluded costs of £31.5m
Adjustments for costs which have a different tax treatment in the PCFM total -£22.1m. 
There have been adjustments to remove the incremental element of established deficit payment of £8.8m and to recognise the pension scheme established deficit repair of -£6.0m.
Other small differences of -£0.5m</t>
  </si>
  <si>
    <t>The difference of £137.0m is explained by:
Interest relating to the other 3 networks of £324.4m
Adjustments for regulatory purposes also adjusted in tax comp of -£186.7m
Other regulatory adjustments on table R5 (finance costs not included in Riio2 definition)  -£4.2m
Difference between notional and actual interest costs of £8.2m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</si>
  <si>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</si>
  <si>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</si>
  <si>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</si>
  <si>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£57.3m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</si>
  <si>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</si>
  <si>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</si>
  <si>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</si>
  <si>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</si>
  <si>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</si>
  <si>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</si>
  <si>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</si>
  <si>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</si>
  <si>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</si>
  <si>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£108.7m. £53.3m related to other 3 Networks capital allowances. The balance of £55.4m arises due to the super deduction and other differences of treatment of expenditure for regulatory purposes</t>
  </si>
  <si>
    <t>£58.3m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</si>
  <si>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</si>
  <si>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</si>
  <si>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</si>
  <si>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Annual Investment allowance</t>
  </si>
  <si>
    <t xml:space="preserve"> - Non-trade loan relationship credits</t>
  </si>
  <si>
    <t>- Discount unwind</t>
  </si>
  <si>
    <t xml:space="preserve"> - Income adjustments (Pension interest)</t>
  </si>
  <si>
    <t>The formula is wrong this should be positive as it is a reduction of the tax allowance not in the CT600. This is to reduce allowances for the FYAs in the year adjusted through the tax trigger.</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</si>
  <si>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</si>
  <si>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</si>
  <si>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</si>
  <si>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</si>
  <si>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</si>
  <si>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</si>
  <si>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</si>
  <si>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</si>
  <si>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</si>
  <si>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</si>
  <si>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</si>
  <si>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</si>
  <si>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</si>
  <si>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</si>
  <si>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</si>
  <si>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</si>
  <si>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</si>
  <si>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</si>
  <si>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</si>
  <si>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</si>
  <si>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</si>
  <si>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</si>
  <si>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</si>
  <si>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</si>
  <si>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</si>
  <si>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</si>
  <si>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</si>
  <si>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</si>
  <si>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</si>
  <si>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</si>
  <si>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</si>
  <si>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</si>
  <si>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</si>
  <si>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</si>
  <si>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</si>
  <si>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</si>
  <si>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</si>
  <si>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</si>
  <si>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</si>
  <si>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</si>
  <si>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</si>
  <si>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</si>
  <si>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</si>
  <si>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</si>
  <si>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</si>
  <si>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</si>
  <si>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</si>
  <si>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</si>
  <si>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</si>
  <si>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</si>
  <si>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</si>
  <si>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</si>
  <si>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</si>
  <si>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</si>
  <si>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</si>
  <si>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6. Unamortised Fees</t>
  </si>
  <si>
    <t>7. Net debt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</si>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</sst>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s>
  <fills count="14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07">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178"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1"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298" fillId="142" borderId="6" xfId="0" applyFont="1" applyFill="1" applyBorder="1" applyAlignment="1">
      <alignment wrapText="1"/>
    </xf>
    <xf numFmtId="0" fontId="298" fillId="142" borderId="138" xfId="0" applyFont="1" applyFill="1" applyBorder="1" applyAlignment="1">
      <alignment wrapText="1"/>
    </xf>
    <xf numFmtId="348" fontId="0" fillId="3" borderId="71" xfId="0" applyNumberFormat="1" applyFill="1" applyBorder="1" applyAlignment="1" applyProtection="1">
      <alignment horizontal="right" vertical="center"/>
      <protection locked="0"/>
    </xf>
    <xf numFmtId="14" fontId="0" fillId="0" borderId="6" xfId="0" applyNumberFormat="1" applyBorder="1" applyAlignment="1" applyProtection="1">
      <alignment horizontal="right" vertical="top"/>
      <protection locked="0"/>
    </xf>
    <xf numFmtId="178" fontId="283" fillId="36" borderId="0" xfId="75" applyNumberFormat="1" applyFont="1" applyFill="1" applyAlignment="1" applyProtection="1">
      <alignment horizontal="center" vertical="center"/>
      <protection locked="0"/>
    </xf>
    <xf numFmtId="178" fontId="283" fillId="36" borderId="142" xfId="75" applyNumberFormat="1" applyFont="1" applyFill="1" applyBorder="1" applyAlignment="1" applyProtection="1">
      <alignment horizontal="center" vertical="center"/>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0" xfId="0" applyAlignment="1">
      <alignment horizontal="center" wrapTex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248" fillId="116" borderId="0" xfId="0" applyFont="1" applyFill="1" applyAlignment="1" applyProtection="1">
      <alignment horizontal="left" vertical="top"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2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darkUp">
          <fgColor rgb="FFC0C0C0"/>
        </patternFill>
      </fill>
    </dxf>
    <dxf>
      <fill>
        <patternFill patternType="lightDown"/>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6" sqref="A6"/>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87" customFormat="1" ht="56.9" customHeight="1"/>
    <row r="2" spans="1:10" ht="20">
      <c r="A2" s="106" t="s">
        <v>0</v>
      </c>
      <c r="B2" s="107"/>
      <c r="C2" s="107"/>
      <c r="D2" s="108"/>
      <c r="E2" s="109"/>
      <c r="F2" s="107"/>
      <c r="G2" s="110"/>
      <c r="H2" s="107"/>
      <c r="I2" s="107"/>
    </row>
    <row r="3" spans="1:10" ht="20">
      <c r="A3" s="106" t="str">
        <f>Licensee</f>
        <v>Cadent-WM</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199"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60" zoomScaleNormal="60" workbookViewId="0">
      <selection activeCell="E19" sqref="E19"/>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7"/>
      <c r="I1" s="597"/>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3">
        <v>2024</v>
      </c>
      <c r="B3" s="554"/>
      <c r="C3" s="598"/>
      <c r="D3" s="598"/>
      <c r="E3" s="598"/>
      <c r="F3" s="598"/>
      <c r="G3" s="335"/>
      <c r="H3" s="336"/>
      <c r="I3" s="336"/>
      <c r="J3" s="336"/>
      <c r="K3" s="336"/>
      <c r="L3" s="336"/>
      <c r="M3" s="336"/>
      <c r="N3" s="336"/>
      <c r="O3" s="336"/>
      <c r="P3" s="336"/>
      <c r="Q3" s="336"/>
      <c r="R3" s="336"/>
      <c r="S3" s="336"/>
      <c r="T3" s="336"/>
      <c r="U3" s="336"/>
      <c r="V3" s="336"/>
      <c r="W3" s="337"/>
    </row>
    <row r="4" spans="1:34" s="50" customFormat="1" ht="16">
      <c r="A4" s="285"/>
      <c r="B4" s="547" t="s">
        <v>701</v>
      </c>
      <c r="C4" s="158"/>
      <c r="D4" s="599"/>
      <c r="E4" s="159"/>
      <c r="F4" s="159"/>
      <c r="G4" s="159"/>
      <c r="H4" s="159"/>
      <c r="I4" s="159"/>
      <c r="J4" s="159"/>
      <c r="K4" s="159"/>
      <c r="L4" s="160"/>
      <c r="M4" s="160"/>
      <c r="N4" s="160"/>
      <c r="O4" s="160"/>
      <c r="P4" s="160"/>
      <c r="Q4" s="160"/>
      <c r="R4" s="160"/>
      <c r="S4" s="160"/>
      <c r="T4" s="160"/>
      <c r="U4" s="160"/>
      <c r="V4" s="52"/>
      <c r="W4" s="52"/>
    </row>
    <row r="5" spans="1:34" s="600" customFormat="1" ht="16">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row>
    <row r="6" spans="1:34" s="600" customFormat="1" ht="16">
      <c r="B6" s="601"/>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row>
    <row r="7" spans="1:34" s="51" customFormat="1" ht="15">
      <c r="A7" s="285"/>
      <c r="B7" s="285" t="s">
        <v>522</v>
      </c>
      <c r="C7" s="52"/>
      <c r="D7" s="285"/>
      <c r="E7" s="284"/>
      <c r="F7" s="284"/>
      <c r="G7" s="284"/>
      <c r="H7" s="284"/>
      <c r="I7" s="284"/>
      <c r="J7" s="284"/>
      <c r="K7" s="284"/>
      <c r="L7" s="284"/>
      <c r="M7" s="1351" t="s">
        <v>702</v>
      </c>
      <c r="N7" s="1352"/>
      <c r="O7" s="1352"/>
      <c r="P7" s="1352"/>
      <c r="Q7" s="1353"/>
      <c r="R7" s="1354" t="s">
        <v>703</v>
      </c>
      <c r="S7" s="1355"/>
      <c r="T7" s="1356"/>
      <c r="U7" s="1355"/>
      <c r="V7" s="1357"/>
      <c r="W7" s="284"/>
    </row>
    <row r="8" spans="1:34" s="50" customFormat="1" ht="15">
      <c r="A8" s="52"/>
      <c r="B8" s="602"/>
      <c r="C8" s="603"/>
      <c r="D8" s="604"/>
      <c r="E8" s="604"/>
      <c r="F8" s="604"/>
      <c r="G8" s="604"/>
      <c r="H8" s="604"/>
      <c r="I8" s="604"/>
      <c r="J8" s="604"/>
      <c r="K8" s="604"/>
      <c r="L8" s="604"/>
      <c r="M8" s="605" t="s">
        <v>1247</v>
      </c>
      <c r="N8" s="606" t="s">
        <v>1247</v>
      </c>
      <c r="O8" s="606" t="s">
        <v>1247</v>
      </c>
      <c r="P8" s="606" t="s">
        <v>1248</v>
      </c>
      <c r="Q8" s="606" t="s">
        <v>1248</v>
      </c>
      <c r="R8" s="606" t="s">
        <v>1248</v>
      </c>
      <c r="S8" s="606" t="s">
        <v>1248</v>
      </c>
      <c r="T8" s="607" t="s">
        <v>1248</v>
      </c>
      <c r="U8" s="608" t="s">
        <v>1248</v>
      </c>
      <c r="V8" s="608" t="s">
        <v>1248</v>
      </c>
      <c r="W8" s="52"/>
    </row>
    <row r="9" spans="1:34" s="50" customFormat="1" ht="15">
      <c r="A9" s="604"/>
      <c r="B9" s="604"/>
      <c r="C9" s="604" t="s">
        <v>704</v>
      </c>
      <c r="D9" s="604"/>
      <c r="E9" s="604"/>
      <c r="F9" s="604"/>
      <c r="G9" s="604"/>
      <c r="H9" s="609">
        <v>0</v>
      </c>
      <c r="I9" s="604"/>
      <c r="J9" s="604"/>
      <c r="K9" s="604"/>
      <c r="L9" s="610" t="s">
        <v>705</v>
      </c>
      <c r="M9" s="611">
        <v>2022</v>
      </c>
      <c r="N9" s="612">
        <v>2023</v>
      </c>
      <c r="O9" s="612">
        <v>2024</v>
      </c>
      <c r="P9" s="612">
        <v>2025</v>
      </c>
      <c r="Q9" s="612">
        <v>2026</v>
      </c>
      <c r="R9" s="612">
        <v>2027</v>
      </c>
      <c r="S9" s="613">
        <v>2028</v>
      </c>
      <c r="T9" s="614">
        <v>2029</v>
      </c>
      <c r="U9" s="615">
        <v>2030</v>
      </c>
      <c r="V9" s="612">
        <v>2031</v>
      </c>
      <c r="W9" s="52"/>
    </row>
    <row r="10" spans="1:34" s="604" customFormat="1">
      <c r="O10" s="616"/>
      <c r="P10" s="616"/>
      <c r="Q10" s="616"/>
      <c r="R10" s="616"/>
      <c r="S10" s="616"/>
      <c r="T10" s="617"/>
      <c r="U10" s="618"/>
      <c r="V10" s="616"/>
    </row>
    <row r="11" spans="1:34" s="604" customFormat="1" ht="15">
      <c r="B11" s="619" t="s">
        <v>706</v>
      </c>
      <c r="C11" s="620"/>
      <c r="D11" s="620"/>
      <c r="E11" s="621"/>
      <c r="F11" s="621"/>
      <c r="G11" s="620"/>
      <c r="H11" s="620"/>
      <c r="I11" s="620"/>
      <c r="J11" s="620"/>
      <c r="K11" s="620"/>
      <c r="L11" s="620"/>
      <c r="M11" s="620"/>
      <c r="N11" s="620"/>
      <c r="O11" s="620"/>
      <c r="P11" s="620"/>
      <c r="Q11" s="620"/>
      <c r="R11" s="620"/>
      <c r="S11" s="620"/>
      <c r="T11" s="622"/>
      <c r="U11" s="620"/>
      <c r="V11" s="620"/>
    </row>
    <row r="12" spans="1:34" s="604" customFormat="1" ht="14">
      <c r="B12" s="623"/>
      <c r="C12" s="624"/>
      <c r="D12" s="625"/>
      <c r="E12" s="625"/>
      <c r="F12" s="625"/>
      <c r="G12" s="625"/>
      <c r="H12" s="625"/>
      <c r="I12" s="603" t="s">
        <v>707</v>
      </c>
      <c r="J12" s="625"/>
      <c r="K12" s="625"/>
      <c r="L12" s="625"/>
      <c r="M12" s="625"/>
      <c r="N12" s="625"/>
      <c r="O12" s="625"/>
      <c r="P12" s="625"/>
      <c r="Q12" s="625"/>
      <c r="R12" s="625"/>
      <c r="S12" s="625"/>
      <c r="T12" s="626"/>
      <c r="U12" s="625"/>
      <c r="V12" s="625"/>
    </row>
    <row r="13" spans="1:34" s="604" customFormat="1" outlineLevel="1">
      <c r="B13" s="627" t="s">
        <v>841</v>
      </c>
      <c r="C13" s="627" t="s">
        <v>842</v>
      </c>
      <c r="D13" s="628"/>
      <c r="E13" s="627"/>
      <c r="F13" s="627"/>
      <c r="I13" s="628" t="s">
        <v>176</v>
      </c>
      <c r="L13" s="629" t="s">
        <v>613</v>
      </c>
      <c r="M13" s="698">
        <v>0</v>
      </c>
      <c r="N13" s="699">
        <v>0</v>
      </c>
      <c r="O13" s="699">
        <v>0</v>
      </c>
      <c r="P13" s="699">
        <v>0</v>
      </c>
      <c r="Q13" s="699">
        <v>0</v>
      </c>
      <c r="R13" s="699">
        <v>0</v>
      </c>
      <c r="S13" s="700">
        <v>0</v>
      </c>
      <c r="T13" s="701">
        <v>0</v>
      </c>
      <c r="U13" s="702">
        <v>0</v>
      </c>
      <c r="V13" s="699">
        <v>0</v>
      </c>
    </row>
    <row r="14" spans="1:34" s="604" customFormat="1" outlineLevel="1">
      <c r="B14" s="627" t="s">
        <v>845</v>
      </c>
      <c r="C14" s="627" t="s">
        <v>846</v>
      </c>
      <c r="D14" s="628"/>
      <c r="E14" s="627"/>
      <c r="F14" s="627"/>
      <c r="I14" s="628" t="s">
        <v>186</v>
      </c>
      <c r="L14" s="629" t="s">
        <v>613</v>
      </c>
      <c r="M14" s="698">
        <v>48.206582261571754</v>
      </c>
      <c r="N14" s="699">
        <v>89.502767910062261</v>
      </c>
      <c r="O14" s="699">
        <v>44.636410433039217</v>
      </c>
      <c r="P14" s="699">
        <v>36.146872502694748</v>
      </c>
      <c r="Q14" s="699">
        <v>30.449657252733076</v>
      </c>
      <c r="R14" s="699">
        <v>27.602731907270449</v>
      </c>
      <c r="S14" s="700">
        <v>7.5430769247301406</v>
      </c>
      <c r="T14" s="701">
        <v>7.384898207614798</v>
      </c>
      <c r="U14" s="702">
        <v>7.368272291113998</v>
      </c>
      <c r="V14" s="699">
        <v>4.0498515127013963</v>
      </c>
    </row>
    <row r="15" spans="1:34" s="604" customFormat="1" outlineLevel="1">
      <c r="B15" s="627" t="s">
        <v>848</v>
      </c>
      <c r="C15" s="627" t="s">
        <v>849</v>
      </c>
      <c r="D15" s="628"/>
      <c r="E15" s="627"/>
      <c r="F15" s="627"/>
      <c r="H15" s="630"/>
      <c r="I15" s="628" t="s">
        <v>196</v>
      </c>
      <c r="L15" s="629" t="s">
        <v>613</v>
      </c>
      <c r="M15" s="698">
        <v>0</v>
      </c>
      <c r="N15" s="699">
        <v>0</v>
      </c>
      <c r="O15" s="699">
        <v>0</v>
      </c>
      <c r="P15" s="699">
        <v>0</v>
      </c>
      <c r="Q15" s="699">
        <v>0</v>
      </c>
      <c r="R15" s="699">
        <v>0</v>
      </c>
      <c r="S15" s="700">
        <v>0</v>
      </c>
      <c r="T15" s="701">
        <v>0</v>
      </c>
      <c r="U15" s="702">
        <v>0</v>
      </c>
      <c r="V15" s="699">
        <v>0</v>
      </c>
    </row>
    <row r="16" spans="1:34" s="604" customFormat="1" outlineLevel="1">
      <c r="B16" s="627" t="s">
        <v>851</v>
      </c>
      <c r="C16" s="627" t="s">
        <v>852</v>
      </c>
      <c r="D16" s="628"/>
      <c r="E16" s="627"/>
      <c r="F16" s="627"/>
      <c r="I16" s="628" t="s">
        <v>205</v>
      </c>
      <c r="L16" s="629" t="s">
        <v>613</v>
      </c>
      <c r="M16" s="698">
        <v>0</v>
      </c>
      <c r="N16" s="699">
        <v>0</v>
      </c>
      <c r="O16" s="699">
        <v>0</v>
      </c>
      <c r="P16" s="699">
        <v>0</v>
      </c>
      <c r="Q16" s="699">
        <v>0</v>
      </c>
      <c r="R16" s="699">
        <v>0</v>
      </c>
      <c r="S16" s="700">
        <v>0</v>
      </c>
      <c r="T16" s="701">
        <v>0</v>
      </c>
      <c r="U16" s="702">
        <v>0</v>
      </c>
      <c r="V16" s="699">
        <v>0</v>
      </c>
    </row>
    <row r="17" spans="2:29" s="604" customFormat="1" outlineLevel="1">
      <c r="B17" s="627" t="s">
        <v>854</v>
      </c>
      <c r="C17" s="627" t="s">
        <v>855</v>
      </c>
      <c r="D17" s="628"/>
      <c r="E17" s="627"/>
      <c r="F17" s="627"/>
      <c r="I17" s="628" t="s">
        <v>210</v>
      </c>
      <c r="L17" s="629" t="s">
        <v>613</v>
      </c>
      <c r="M17" s="698">
        <v>0</v>
      </c>
      <c r="N17" s="699">
        <v>0</v>
      </c>
      <c r="O17" s="699">
        <v>0</v>
      </c>
      <c r="P17" s="699">
        <v>0</v>
      </c>
      <c r="Q17" s="699">
        <v>0</v>
      </c>
      <c r="R17" s="699">
        <v>0</v>
      </c>
      <c r="S17" s="700">
        <v>0</v>
      </c>
      <c r="T17" s="701">
        <v>0</v>
      </c>
      <c r="U17" s="702">
        <v>0</v>
      </c>
      <c r="V17" s="699">
        <v>0</v>
      </c>
    </row>
    <row r="18" spans="2:29" s="604" customFormat="1" outlineLevel="1">
      <c r="B18" s="627" t="s">
        <v>857</v>
      </c>
      <c r="C18" s="627" t="s">
        <v>858</v>
      </c>
      <c r="D18" s="628"/>
      <c r="E18" s="627"/>
      <c r="F18" s="627"/>
      <c r="I18" s="628" t="s">
        <v>215</v>
      </c>
      <c r="L18" s="629" t="s">
        <v>613</v>
      </c>
      <c r="M18" s="698">
        <v>143.04521032512551</v>
      </c>
      <c r="N18" s="699">
        <v>181.95730572714837</v>
      </c>
      <c r="O18" s="699">
        <v>220.02064482083117</v>
      </c>
      <c r="P18" s="699">
        <v>206.86089980542033</v>
      </c>
      <c r="Q18" s="699">
        <v>202.06559879914795</v>
      </c>
      <c r="R18" s="699">
        <v>205.46309130262858</v>
      </c>
      <c r="S18" s="700">
        <v>208.88349365540063</v>
      </c>
      <c r="T18" s="701">
        <v>200.21086351149759</v>
      </c>
      <c r="U18" s="702">
        <v>177.78546007556747</v>
      </c>
      <c r="V18" s="699">
        <v>159.6771796027659</v>
      </c>
    </row>
    <row r="19" spans="2:29" s="604" customFormat="1">
      <c r="B19" s="627" t="s">
        <v>860</v>
      </c>
      <c r="C19" s="627" t="s">
        <v>861</v>
      </c>
      <c r="D19" s="628"/>
      <c r="E19" s="627"/>
      <c r="F19" s="631"/>
      <c r="G19" s="630"/>
      <c r="H19" s="630"/>
      <c r="I19" s="628" t="s">
        <v>219</v>
      </c>
      <c r="L19" s="629" t="s">
        <v>613</v>
      </c>
      <c r="M19" s="703">
        <v>111.47969843707931</v>
      </c>
      <c r="N19" s="704">
        <v>182.61881028457162</v>
      </c>
      <c r="O19" s="704">
        <v>125.16581073317019</v>
      </c>
      <c r="P19" s="704">
        <v>130.54125766147541</v>
      </c>
      <c r="Q19" s="704">
        <v>111.58637263082299</v>
      </c>
      <c r="R19" s="704">
        <v>113.8918067858412</v>
      </c>
      <c r="S19" s="705">
        <v>108.79717286576076</v>
      </c>
      <c r="T19" s="706">
        <v>103.82510487903198</v>
      </c>
      <c r="U19" s="707">
        <v>73.837711949243115</v>
      </c>
      <c r="V19" s="704">
        <v>47.375488106079509</v>
      </c>
    </row>
    <row r="20" spans="2:29" s="604" customFormat="1">
      <c r="B20" s="627" t="s">
        <v>864</v>
      </c>
      <c r="C20" s="627" t="s">
        <v>865</v>
      </c>
      <c r="D20" s="628"/>
      <c r="E20" s="627"/>
      <c r="F20" s="631"/>
      <c r="G20" s="630"/>
      <c r="H20" s="630"/>
      <c r="I20" s="628" t="s">
        <v>222</v>
      </c>
      <c r="L20" s="629" t="s">
        <v>613</v>
      </c>
      <c r="M20" s="698">
        <v>-40.324713147912973</v>
      </c>
      <c r="N20" s="699">
        <v>-54.449633429880741</v>
      </c>
      <c r="O20" s="699">
        <v>-93.229698294671252</v>
      </c>
      <c r="P20" s="699">
        <v>-123.98988325932149</v>
      </c>
      <c r="Q20" s="699">
        <v>-119.34156721286774</v>
      </c>
      <c r="R20" s="699">
        <v>-115.6452292286901</v>
      </c>
      <c r="S20" s="700">
        <v>-97.568975357811397</v>
      </c>
      <c r="T20" s="701">
        <v>-91.857595863962956</v>
      </c>
      <c r="U20" s="702">
        <v>-65.795332250784099</v>
      </c>
      <c r="V20" s="699">
        <v>-47.814577986282167</v>
      </c>
    </row>
    <row r="21" spans="2:29" s="604" customFormat="1">
      <c r="B21" s="627" t="s">
        <v>867</v>
      </c>
      <c r="C21" s="627" t="s">
        <v>216</v>
      </c>
      <c r="D21" s="628"/>
      <c r="E21" s="627"/>
      <c r="F21" s="631"/>
      <c r="G21" s="630"/>
      <c r="H21" s="630"/>
      <c r="I21" s="628" t="s">
        <v>216</v>
      </c>
      <c r="L21" s="629" t="s">
        <v>613</v>
      </c>
      <c r="M21" s="698">
        <v>0</v>
      </c>
      <c r="N21" s="699">
        <v>0</v>
      </c>
      <c r="O21" s="699">
        <v>0</v>
      </c>
      <c r="P21" s="699">
        <v>0</v>
      </c>
      <c r="Q21" s="699">
        <v>0</v>
      </c>
      <c r="R21" s="699">
        <v>0</v>
      </c>
      <c r="S21" s="700">
        <v>0</v>
      </c>
      <c r="T21" s="701">
        <v>0</v>
      </c>
      <c r="U21" s="702">
        <v>0</v>
      </c>
      <c r="V21" s="699">
        <v>0</v>
      </c>
    </row>
    <row r="22" spans="2:29" s="604" customFormat="1" outlineLevel="1">
      <c r="C22" s="632" t="s">
        <v>557</v>
      </c>
      <c r="M22" s="708" t="s">
        <v>1255</v>
      </c>
      <c r="N22" s="708" t="s">
        <v>1255</v>
      </c>
      <c r="O22" s="708" t="s">
        <v>1255</v>
      </c>
      <c r="P22" s="708" t="s">
        <v>1255</v>
      </c>
      <c r="Q22" s="708" t="s">
        <v>1255</v>
      </c>
      <c r="R22" s="708" t="s">
        <v>1255</v>
      </c>
      <c r="S22" s="708" t="s">
        <v>1255</v>
      </c>
      <c r="T22" s="709" t="s">
        <v>1255</v>
      </c>
      <c r="U22" s="708" t="s">
        <v>1255</v>
      </c>
      <c r="V22" s="708" t="s">
        <v>1255</v>
      </c>
      <c r="W22" s="53"/>
      <c r="X22" s="53"/>
      <c r="Y22" s="53"/>
      <c r="Z22" s="53"/>
      <c r="AA22" s="53"/>
      <c r="AB22" s="53"/>
      <c r="AC22" s="53"/>
    </row>
    <row r="23" spans="2:29" s="604" customFormat="1" outlineLevel="1">
      <c r="C23" s="632"/>
      <c r="T23" s="319"/>
      <c r="U23" s="53"/>
      <c r="V23" s="53"/>
      <c r="W23" s="53"/>
      <c r="X23" s="53"/>
      <c r="Y23" s="53"/>
      <c r="Z23" s="53"/>
      <c r="AA23" s="53"/>
      <c r="AB23" s="53"/>
      <c r="AC23" s="53"/>
    </row>
    <row r="24" spans="2:29" s="604" customFormat="1" ht="15">
      <c r="B24" s="619" t="s">
        <v>708</v>
      </c>
      <c r="C24" s="620"/>
      <c r="D24" s="620"/>
      <c r="E24" s="621"/>
      <c r="F24" s="621"/>
      <c r="G24" s="620"/>
      <c r="H24" s="620"/>
      <c r="I24" s="620"/>
      <c r="J24" s="620"/>
      <c r="K24" s="620"/>
      <c r="L24" s="620"/>
      <c r="M24" s="620"/>
      <c r="N24" s="620"/>
      <c r="O24" s="620"/>
      <c r="P24" s="620"/>
      <c r="Q24" s="620"/>
      <c r="R24" s="620"/>
      <c r="S24" s="620"/>
      <c r="T24" s="622"/>
      <c r="U24" s="620"/>
      <c r="V24" s="620"/>
    </row>
    <row r="25" spans="2:29" s="604" customFormat="1" ht="14">
      <c r="B25" s="623"/>
      <c r="C25" s="624"/>
      <c r="D25" s="625"/>
      <c r="E25" s="625"/>
      <c r="F25" s="625"/>
      <c r="G25" s="625"/>
      <c r="H25" s="625"/>
      <c r="I25" s="625"/>
      <c r="J25" s="625"/>
      <c r="K25" s="625"/>
      <c r="L25" s="625"/>
      <c r="M25" s="625"/>
      <c r="N25" s="625"/>
      <c r="O25" s="625"/>
      <c r="P25" s="625"/>
      <c r="Q25" s="625"/>
      <c r="R25" s="625"/>
      <c r="S25" s="625"/>
      <c r="T25" s="626"/>
      <c r="U25" s="625"/>
      <c r="V25" s="625"/>
    </row>
    <row r="26" spans="2:29" s="604" customFormat="1" outlineLevel="1">
      <c r="B26" s="627" t="s">
        <v>841</v>
      </c>
      <c r="C26" s="627" t="s">
        <v>842</v>
      </c>
      <c r="D26" s="627"/>
      <c r="E26" s="627"/>
      <c r="F26" s="603"/>
      <c r="L26" s="629" t="s">
        <v>613</v>
      </c>
      <c r="M26" s="633">
        <v>0</v>
      </c>
      <c r="N26" s="633">
        <v>0</v>
      </c>
      <c r="O26" s="633">
        <v>0</v>
      </c>
      <c r="P26" s="633">
        <v>0</v>
      </c>
      <c r="Q26" s="633">
        <v>0</v>
      </c>
      <c r="R26" s="633">
        <v>0</v>
      </c>
      <c r="S26" s="633">
        <v>0</v>
      </c>
      <c r="T26" s="633">
        <v>0</v>
      </c>
      <c r="U26" s="633">
        <v>0</v>
      </c>
      <c r="V26" s="633">
        <v>0</v>
      </c>
    </row>
    <row r="27" spans="2:29" s="604" customFormat="1" outlineLevel="1">
      <c r="B27" s="627" t="s">
        <v>845</v>
      </c>
      <c r="C27" s="627" t="s">
        <v>846</v>
      </c>
      <c r="D27" s="627"/>
      <c r="E27" s="627"/>
      <c r="F27" s="603"/>
      <c r="L27" s="629" t="s">
        <v>613</v>
      </c>
      <c r="M27" s="633">
        <v>9.8337062500000023</v>
      </c>
      <c r="N27" s="633">
        <v>18.42896189</v>
      </c>
      <c r="O27" s="633">
        <v>29.072996990000004</v>
      </c>
      <c r="P27" s="633">
        <v>43.006661150000006</v>
      </c>
      <c r="Q27" s="633">
        <v>37.215538970000004</v>
      </c>
      <c r="R27" s="633">
        <v>34.326546749999999</v>
      </c>
      <c r="S27" s="633">
        <v>14.47966884</v>
      </c>
      <c r="T27" s="633">
        <v>14.28971617</v>
      </c>
      <c r="U27" s="633">
        <v>14.2349742</v>
      </c>
      <c r="V27" s="633">
        <v>9.4195763100000001</v>
      </c>
    </row>
    <row r="28" spans="2:29" s="604" customFormat="1" outlineLevel="1">
      <c r="B28" s="627" t="s">
        <v>848</v>
      </c>
      <c r="C28" s="627" t="s">
        <v>849</v>
      </c>
      <c r="D28" s="627"/>
      <c r="E28" s="627"/>
      <c r="F28" s="603"/>
      <c r="L28" s="629" t="s">
        <v>613</v>
      </c>
      <c r="M28" s="633">
        <v>0</v>
      </c>
      <c r="N28" s="633">
        <v>0</v>
      </c>
      <c r="O28" s="633">
        <v>0</v>
      </c>
      <c r="P28" s="633">
        <v>0</v>
      </c>
      <c r="Q28" s="633">
        <v>0</v>
      </c>
      <c r="R28" s="633">
        <v>0</v>
      </c>
      <c r="S28" s="633">
        <v>0</v>
      </c>
      <c r="T28" s="633">
        <v>0</v>
      </c>
      <c r="U28" s="633">
        <v>0</v>
      </c>
      <c r="V28" s="633">
        <v>0</v>
      </c>
    </row>
    <row r="29" spans="2:29" s="604" customFormat="1" outlineLevel="1">
      <c r="B29" s="627" t="s">
        <v>851</v>
      </c>
      <c r="C29" s="627" t="s">
        <v>852</v>
      </c>
      <c r="D29" s="627"/>
      <c r="E29" s="627"/>
      <c r="F29" s="603"/>
      <c r="L29" s="629" t="s">
        <v>613</v>
      </c>
      <c r="M29" s="633">
        <v>0</v>
      </c>
      <c r="N29" s="633">
        <v>0</v>
      </c>
      <c r="O29" s="633">
        <v>0</v>
      </c>
      <c r="P29" s="633">
        <v>0</v>
      </c>
      <c r="Q29" s="633">
        <v>0</v>
      </c>
      <c r="R29" s="633">
        <v>0</v>
      </c>
      <c r="S29" s="633">
        <v>0</v>
      </c>
      <c r="T29" s="633">
        <v>0</v>
      </c>
      <c r="U29" s="633">
        <v>0</v>
      </c>
      <c r="V29" s="633">
        <v>0</v>
      </c>
    </row>
    <row r="30" spans="2:29" s="604" customFormat="1" outlineLevel="1">
      <c r="B30" s="627" t="s">
        <v>854</v>
      </c>
      <c r="C30" s="627" t="s">
        <v>855</v>
      </c>
      <c r="D30" s="627"/>
      <c r="E30" s="627"/>
      <c r="F30" s="603"/>
      <c r="L30" s="629" t="s">
        <v>613</v>
      </c>
      <c r="M30" s="633">
        <v>0</v>
      </c>
      <c r="N30" s="633">
        <v>0</v>
      </c>
      <c r="O30" s="633">
        <v>0</v>
      </c>
      <c r="P30" s="633">
        <v>0</v>
      </c>
      <c r="Q30" s="633">
        <v>0</v>
      </c>
      <c r="R30" s="633">
        <v>0</v>
      </c>
      <c r="S30" s="633">
        <v>0</v>
      </c>
      <c r="T30" s="633">
        <v>0</v>
      </c>
      <c r="U30" s="633">
        <v>0</v>
      </c>
      <c r="V30" s="633">
        <v>0</v>
      </c>
    </row>
    <row r="31" spans="2:29" s="604" customFormat="1" outlineLevel="1">
      <c r="B31" s="627" t="s">
        <v>857</v>
      </c>
      <c r="C31" s="627" t="s">
        <v>858</v>
      </c>
      <c r="D31" s="627"/>
      <c r="E31" s="627"/>
      <c r="F31" s="603"/>
      <c r="L31" s="629" t="s">
        <v>613</v>
      </c>
      <c r="M31" s="633">
        <v>119.88925359999999</v>
      </c>
      <c r="N31" s="633">
        <v>119.12272179</v>
      </c>
      <c r="O31" s="633">
        <v>151.09334562999999</v>
      </c>
      <c r="P31" s="633">
        <v>190.7003993661036</v>
      </c>
      <c r="Q31" s="633">
        <v>209.43415302659395</v>
      </c>
      <c r="R31" s="633">
        <v>209.94995120659399</v>
      </c>
      <c r="S31" s="633">
        <v>210.467545316594</v>
      </c>
      <c r="T31" s="633">
        <v>211.02149393659397</v>
      </c>
      <c r="U31" s="633">
        <v>193.53148605659399</v>
      </c>
      <c r="V31" s="633">
        <v>162.34880791660402</v>
      </c>
    </row>
    <row r="32" spans="2:29" s="604" customFormat="1">
      <c r="B32" s="627" t="s">
        <v>860</v>
      </c>
      <c r="C32" s="627" t="s">
        <v>861</v>
      </c>
      <c r="D32" s="628"/>
      <c r="E32" s="627"/>
      <c r="F32" s="630"/>
      <c r="G32" s="630"/>
      <c r="H32" s="630"/>
      <c r="L32" s="629" t="s">
        <v>613</v>
      </c>
      <c r="M32" s="633">
        <v>25.418624380000008</v>
      </c>
      <c r="N32" s="633">
        <v>22.830925359999998</v>
      </c>
      <c r="O32" s="633">
        <v>25.675510009999996</v>
      </c>
      <c r="P32" s="633">
        <v>76.175925990000053</v>
      </c>
      <c r="Q32" s="633">
        <v>150.14115381000013</v>
      </c>
      <c r="R32" s="633">
        <v>388.8810039600001</v>
      </c>
      <c r="S32" s="633">
        <v>162.99090110999998</v>
      </c>
      <c r="T32" s="633">
        <v>203.02627786999997</v>
      </c>
      <c r="U32" s="633">
        <v>105.98706225999996</v>
      </c>
      <c r="V32" s="633">
        <v>277.86838763999998</v>
      </c>
    </row>
    <row r="33" spans="2:24" s="604" customFormat="1">
      <c r="B33" s="627" t="s">
        <v>864</v>
      </c>
      <c r="C33" s="627" t="s">
        <v>865</v>
      </c>
      <c r="D33" s="628"/>
      <c r="E33" s="627"/>
      <c r="F33" s="630"/>
      <c r="G33" s="630"/>
      <c r="H33" s="630"/>
      <c r="L33" s="629" t="s">
        <v>613</v>
      </c>
      <c r="M33" s="633">
        <v>-26.113130309999999</v>
      </c>
      <c r="N33" s="633">
        <v>-54.918364619999998</v>
      </c>
      <c r="O33" s="633">
        <v>-57.898341330000001</v>
      </c>
      <c r="P33" s="633">
        <v>-101.27302629610358</v>
      </c>
      <c r="Q33" s="633">
        <v>-179.55653311659418</v>
      </c>
      <c r="R33" s="633">
        <v>-180.81449053659404</v>
      </c>
      <c r="S33" s="633">
        <v>-135.79447023659401</v>
      </c>
      <c r="T33" s="633">
        <v>-131.41507561659404</v>
      </c>
      <c r="U33" s="633">
        <v>-118.02552589659398</v>
      </c>
      <c r="V33" s="633">
        <v>-105.073134646604</v>
      </c>
    </row>
    <row r="34" spans="2:24" s="604" customFormat="1">
      <c r="B34" s="627" t="s">
        <v>867</v>
      </c>
      <c r="C34" s="627" t="s">
        <v>216</v>
      </c>
      <c r="D34" s="628"/>
      <c r="E34" s="627"/>
      <c r="F34" s="630"/>
      <c r="G34" s="630"/>
      <c r="H34" s="630"/>
      <c r="L34" s="629" t="s">
        <v>613</v>
      </c>
      <c r="M34" s="633">
        <v>0</v>
      </c>
      <c r="N34" s="633">
        <v>0</v>
      </c>
      <c r="O34" s="633">
        <v>6.6242929490685748E-2</v>
      </c>
      <c r="P34" s="633">
        <v>3.8688810708036904E-2</v>
      </c>
      <c r="Q34" s="633">
        <v>1.1134691925388037E-2</v>
      </c>
      <c r="R34" s="633">
        <v>0</v>
      </c>
      <c r="S34" s="633">
        <v>0</v>
      </c>
      <c r="T34" s="633">
        <v>0</v>
      </c>
      <c r="U34" s="633">
        <v>0</v>
      </c>
      <c r="V34" s="633">
        <v>0</v>
      </c>
    </row>
    <row r="35" spans="2:24" s="604" customFormat="1" outlineLevel="1">
      <c r="B35" s="634"/>
      <c r="C35" s="603"/>
      <c r="L35" s="635"/>
      <c r="T35" s="636"/>
    </row>
    <row r="36" spans="2:24" s="604" customFormat="1" outlineLevel="1">
      <c r="B36" s="634"/>
      <c r="C36" s="603"/>
      <c r="L36" s="635"/>
      <c r="T36" s="636"/>
    </row>
    <row r="37" spans="2:24" s="604" customFormat="1" ht="15">
      <c r="B37" s="619" t="s">
        <v>709</v>
      </c>
      <c r="C37" s="620"/>
      <c r="D37" s="620"/>
      <c r="E37" s="621"/>
      <c r="F37" s="621"/>
      <c r="G37" s="620"/>
      <c r="H37" s="620"/>
      <c r="I37" s="620"/>
      <c r="J37" s="620"/>
      <c r="K37" s="620"/>
      <c r="L37" s="620"/>
      <c r="M37" s="620"/>
      <c r="N37" s="620"/>
      <c r="O37" s="620"/>
      <c r="P37" s="620"/>
      <c r="Q37" s="620"/>
      <c r="R37" s="620"/>
      <c r="S37" s="620"/>
      <c r="T37" s="622"/>
      <c r="U37" s="620"/>
      <c r="V37" s="620"/>
    </row>
    <row r="38" spans="2:24" s="604" customFormat="1" ht="15">
      <c r="B38" s="637"/>
      <c r="E38" s="638"/>
      <c r="F38" s="638"/>
      <c r="T38" s="636"/>
    </row>
    <row r="39" spans="2:24" s="604" customFormat="1" outlineLevel="1">
      <c r="B39" s="639" t="s">
        <v>710</v>
      </c>
      <c r="D39" s="638"/>
      <c r="M39" s="640" t="s">
        <v>711</v>
      </c>
      <c r="N39" s="641" t="s">
        <v>711</v>
      </c>
      <c r="O39" s="641" t="s">
        <v>711</v>
      </c>
      <c r="P39" s="641" t="s">
        <v>711</v>
      </c>
      <c r="Q39" s="641" t="s">
        <v>711</v>
      </c>
      <c r="R39" s="641" t="s">
        <v>711</v>
      </c>
      <c r="S39" s="642" t="s">
        <v>711</v>
      </c>
      <c r="T39" s="643" t="s">
        <v>711</v>
      </c>
      <c r="U39" s="644" t="s">
        <v>711</v>
      </c>
      <c r="V39" s="641" t="s">
        <v>711</v>
      </c>
    </row>
    <row r="40" spans="2:24" s="604" customFormat="1" outlineLevel="1">
      <c r="C40" s="645" t="s">
        <v>712</v>
      </c>
      <c r="D40" s="646"/>
      <c r="E40" s="647"/>
      <c r="F40" s="646"/>
      <c r="G40" s="646"/>
      <c r="H40" s="646"/>
      <c r="I40" s="646"/>
      <c r="J40" s="646"/>
      <c r="K40" s="646"/>
      <c r="L40" s="646"/>
      <c r="M40" s="633">
        <v>0</v>
      </c>
      <c r="N40" s="633">
        <v>0</v>
      </c>
      <c r="O40" s="633">
        <v>0</v>
      </c>
      <c r="P40" s="633">
        <v>0</v>
      </c>
      <c r="Q40" s="633">
        <v>0</v>
      </c>
      <c r="R40" s="633">
        <v>0</v>
      </c>
      <c r="S40" s="633">
        <v>0</v>
      </c>
      <c r="T40" s="633">
        <v>0</v>
      </c>
      <c r="U40" s="633">
        <v>0</v>
      </c>
      <c r="V40" s="633">
        <v>0</v>
      </c>
      <c r="X40" s="241"/>
    </row>
    <row r="41" spans="2:24" s="604" customFormat="1" outlineLevel="1">
      <c r="C41" s="645" t="s">
        <v>713</v>
      </c>
      <c r="D41" s="646"/>
      <c r="E41" s="647"/>
      <c r="F41" s="647"/>
      <c r="G41" s="646"/>
      <c r="H41" s="646"/>
      <c r="I41" s="646"/>
      <c r="J41" s="646"/>
      <c r="K41" s="646"/>
      <c r="L41" s="646"/>
      <c r="M41" s="633">
        <v>0</v>
      </c>
      <c r="N41" s="633">
        <v>0</v>
      </c>
      <c r="O41" s="633">
        <v>0</v>
      </c>
      <c r="P41" s="633">
        <v>0</v>
      </c>
      <c r="Q41" s="633">
        <v>0</v>
      </c>
      <c r="R41" s="633">
        <v>0</v>
      </c>
      <c r="S41" s="633">
        <v>0</v>
      </c>
      <c r="T41" s="633">
        <v>0</v>
      </c>
      <c r="U41" s="633">
        <v>0</v>
      </c>
      <c r="V41" s="633">
        <v>0</v>
      </c>
      <c r="X41" s="241"/>
    </row>
    <row r="42" spans="2:24" s="604" customFormat="1" outlineLevel="1">
      <c r="B42" s="627" t="s">
        <v>841</v>
      </c>
      <c r="C42" s="648" t="s">
        <v>842</v>
      </c>
      <c r="D42" s="648"/>
      <c r="E42" s="649"/>
      <c r="F42" s="649"/>
      <c r="G42" s="646"/>
      <c r="H42" s="646"/>
      <c r="I42" s="646"/>
      <c r="J42" s="646"/>
      <c r="K42" s="646"/>
      <c r="L42" s="646"/>
      <c r="M42" s="710">
        <v>0</v>
      </c>
      <c r="N42" s="711">
        <v>0</v>
      </c>
      <c r="O42" s="711">
        <v>0</v>
      </c>
      <c r="P42" s="711">
        <v>0</v>
      </c>
      <c r="Q42" s="711">
        <v>0</v>
      </c>
      <c r="R42" s="711">
        <v>0</v>
      </c>
      <c r="S42" s="712">
        <v>0</v>
      </c>
      <c r="T42" s="713">
        <v>0</v>
      </c>
      <c r="U42" s="714">
        <v>0</v>
      </c>
      <c r="V42" s="711">
        <v>0</v>
      </c>
      <c r="X42" s="650">
        <v>0</v>
      </c>
    </row>
    <row r="43" spans="2:24" s="604" customFormat="1" outlineLevel="1">
      <c r="B43" s="627" t="s">
        <v>845</v>
      </c>
      <c r="C43" s="651" t="s">
        <v>846</v>
      </c>
      <c r="D43" s="648"/>
      <c r="E43" s="649"/>
      <c r="F43" s="649"/>
      <c r="G43" s="646"/>
      <c r="H43" s="646"/>
      <c r="I43" s="646"/>
      <c r="J43" s="646"/>
      <c r="K43" s="646"/>
      <c r="L43" s="646"/>
      <c r="M43" s="710">
        <v>48.206582261571754</v>
      </c>
      <c r="N43" s="711">
        <v>89.502767910062261</v>
      </c>
      <c r="O43" s="711">
        <v>44.636410433039217</v>
      </c>
      <c r="P43" s="711">
        <v>36.146872502694748</v>
      </c>
      <c r="Q43" s="711">
        <v>30.449657252733076</v>
      </c>
      <c r="R43" s="711">
        <v>27.602731907270449</v>
      </c>
      <c r="S43" s="712">
        <v>7.5430769247301406</v>
      </c>
      <c r="T43" s="713">
        <v>7.384898207614798</v>
      </c>
      <c r="U43" s="714">
        <v>7.368272291113998</v>
      </c>
      <c r="V43" s="711">
        <v>4.0498515127013963</v>
      </c>
      <c r="X43" s="650">
        <v>0</v>
      </c>
    </row>
    <row r="44" spans="2:24" s="604" customFormat="1" outlineLevel="1">
      <c r="B44" s="627" t="s">
        <v>848</v>
      </c>
      <c r="C44" s="651" t="s">
        <v>849</v>
      </c>
      <c r="D44" s="648"/>
      <c r="E44" s="649"/>
      <c r="F44" s="649"/>
      <c r="G44" s="646"/>
      <c r="H44" s="646"/>
      <c r="I44" s="646"/>
      <c r="J44" s="646"/>
      <c r="K44" s="646"/>
      <c r="L44" s="646"/>
      <c r="M44" s="710">
        <v>0</v>
      </c>
      <c r="N44" s="711">
        <v>0</v>
      </c>
      <c r="O44" s="711">
        <v>0</v>
      </c>
      <c r="P44" s="711">
        <v>0</v>
      </c>
      <c r="Q44" s="711">
        <v>0</v>
      </c>
      <c r="R44" s="711">
        <v>0</v>
      </c>
      <c r="S44" s="712">
        <v>0</v>
      </c>
      <c r="T44" s="713">
        <v>0</v>
      </c>
      <c r="U44" s="714">
        <v>0</v>
      </c>
      <c r="V44" s="711">
        <v>0</v>
      </c>
      <c r="X44" s="650">
        <v>0</v>
      </c>
    </row>
    <row r="45" spans="2:24" s="604" customFormat="1" outlineLevel="1">
      <c r="B45" s="627" t="s">
        <v>854</v>
      </c>
      <c r="C45" s="651" t="s">
        <v>855</v>
      </c>
      <c r="D45" s="648"/>
      <c r="E45" s="649"/>
      <c r="F45" s="649"/>
      <c r="G45" s="646"/>
      <c r="H45" s="646"/>
      <c r="I45" s="646"/>
      <c r="J45" s="646"/>
      <c r="K45" s="646"/>
      <c r="L45" s="646"/>
      <c r="M45" s="710">
        <v>0</v>
      </c>
      <c r="N45" s="714">
        <v>0</v>
      </c>
      <c r="O45" s="714">
        <v>0</v>
      </c>
      <c r="P45" s="714">
        <v>0</v>
      </c>
      <c r="Q45" s="714">
        <v>0</v>
      </c>
      <c r="R45" s="714">
        <v>0</v>
      </c>
      <c r="S45" s="715">
        <v>0</v>
      </c>
      <c r="T45" s="716">
        <v>0</v>
      </c>
      <c r="U45" s="714">
        <v>0</v>
      </c>
      <c r="V45" s="714">
        <v>0</v>
      </c>
      <c r="X45" s="650"/>
    </row>
    <row r="46" spans="2:24" s="604" customFormat="1" outlineLevel="1">
      <c r="B46" s="627" t="s">
        <v>857</v>
      </c>
      <c r="C46" s="651" t="s">
        <v>858</v>
      </c>
      <c r="D46" s="648"/>
      <c r="E46" s="649"/>
      <c r="F46" s="649"/>
      <c r="G46" s="646"/>
      <c r="H46" s="646"/>
      <c r="I46" s="646"/>
      <c r="J46" s="646"/>
      <c r="K46" s="646"/>
      <c r="L46" s="646"/>
      <c r="M46" s="710">
        <v>143.04521032512551</v>
      </c>
      <c r="N46" s="714">
        <v>181.95730572714837</v>
      </c>
      <c r="O46" s="714">
        <v>220.02064482083117</v>
      </c>
      <c r="P46" s="714">
        <v>206.86089980542033</v>
      </c>
      <c r="Q46" s="714">
        <v>202.06559879914795</v>
      </c>
      <c r="R46" s="714">
        <v>205.46309130262858</v>
      </c>
      <c r="S46" s="715">
        <v>208.88349365540063</v>
      </c>
      <c r="T46" s="716">
        <v>200.21086351149759</v>
      </c>
      <c r="U46" s="714">
        <v>177.78546007556747</v>
      </c>
      <c r="V46" s="714">
        <v>159.6771796027659</v>
      </c>
      <c r="X46" s="650"/>
    </row>
    <row r="47" spans="2:24" s="604" customFormat="1" outlineLevel="1">
      <c r="B47" s="627" t="s">
        <v>714</v>
      </c>
      <c r="C47" s="651" t="s">
        <v>715</v>
      </c>
      <c r="D47" s="648"/>
      <c r="E47" s="649"/>
      <c r="F47" s="649"/>
      <c r="G47" s="646"/>
      <c r="H47" s="646"/>
      <c r="I47" s="646"/>
      <c r="J47" s="646"/>
      <c r="K47" s="646"/>
      <c r="L47" s="646"/>
      <c r="M47" s="717">
        <v>71.154985289166333</v>
      </c>
      <c r="N47" s="717">
        <v>128.16917685469087</v>
      </c>
      <c r="O47" s="717">
        <v>31.936112438498938</v>
      </c>
      <c r="P47" s="717">
        <v>6.5513744021539253</v>
      </c>
      <c r="Q47" s="717">
        <v>-7.7551945820447514</v>
      </c>
      <c r="R47" s="717">
        <v>-1.7534224428489011</v>
      </c>
      <c r="S47" s="718">
        <v>11.228197507949361</v>
      </c>
      <c r="T47" s="719">
        <v>11.967509015069027</v>
      </c>
      <c r="U47" s="720">
        <v>8.0423796984590155</v>
      </c>
      <c r="V47" s="717">
        <v>-0.43908988020265838</v>
      </c>
      <c r="X47" s="650"/>
    </row>
    <row r="48" spans="2:24" s="604" customFormat="1" outlineLevel="1">
      <c r="B48" s="627" t="s">
        <v>867</v>
      </c>
      <c r="C48" s="651" t="s">
        <v>216</v>
      </c>
      <c r="D48" s="648"/>
      <c r="E48" s="649"/>
      <c r="F48" s="649"/>
      <c r="G48" s="646"/>
      <c r="H48" s="646"/>
      <c r="I48" s="646"/>
      <c r="J48" s="646"/>
      <c r="K48" s="646"/>
      <c r="L48" s="646"/>
      <c r="M48" s="710">
        <v>0</v>
      </c>
      <c r="N48" s="714">
        <v>0</v>
      </c>
      <c r="O48" s="714">
        <v>0</v>
      </c>
      <c r="P48" s="714">
        <v>0</v>
      </c>
      <c r="Q48" s="714">
        <v>0</v>
      </c>
      <c r="R48" s="714">
        <v>0</v>
      </c>
      <c r="S48" s="715">
        <v>0</v>
      </c>
      <c r="T48" s="716">
        <v>0</v>
      </c>
      <c r="U48" s="714">
        <v>0</v>
      </c>
      <c r="V48" s="714">
        <v>0</v>
      </c>
      <c r="X48" s="650"/>
    </row>
    <row r="49" spans="3:24" s="604" customFormat="1" outlineLevel="1">
      <c r="C49" s="652" t="s">
        <v>716</v>
      </c>
      <c r="D49" s="653"/>
      <c r="E49" s="654"/>
      <c r="F49" s="654"/>
      <c r="G49" s="646"/>
      <c r="H49" s="646"/>
      <c r="I49" s="646"/>
      <c r="J49" s="646"/>
      <c r="K49" s="646"/>
      <c r="L49" s="646"/>
      <c r="M49" s="633">
        <v>0</v>
      </c>
      <c r="N49" s="633">
        <v>0</v>
      </c>
      <c r="O49" s="633">
        <v>0</v>
      </c>
      <c r="P49" s="633">
        <v>0</v>
      </c>
      <c r="Q49" s="633">
        <v>0</v>
      </c>
      <c r="R49" s="633">
        <v>0</v>
      </c>
      <c r="S49" s="633">
        <v>0</v>
      </c>
      <c r="T49" s="633">
        <v>0</v>
      </c>
      <c r="U49" s="633">
        <v>0</v>
      </c>
      <c r="V49" s="633">
        <v>0</v>
      </c>
      <c r="X49" s="241"/>
    </row>
    <row r="50" spans="3:24" s="604" customFormat="1" outlineLevel="1">
      <c r="C50" s="652" t="s">
        <v>716</v>
      </c>
      <c r="D50" s="653"/>
      <c r="E50" s="654"/>
      <c r="F50" s="654"/>
      <c r="G50" s="646"/>
      <c r="H50" s="646"/>
      <c r="I50" s="646"/>
      <c r="J50" s="646"/>
      <c r="K50" s="646"/>
      <c r="L50" s="646"/>
      <c r="M50" s="633">
        <v>0</v>
      </c>
      <c r="N50" s="633">
        <v>0</v>
      </c>
      <c r="O50" s="633">
        <v>0</v>
      </c>
      <c r="P50" s="633">
        <v>0</v>
      </c>
      <c r="Q50" s="633">
        <v>0</v>
      </c>
      <c r="R50" s="633">
        <v>0</v>
      </c>
      <c r="S50" s="633">
        <v>0</v>
      </c>
      <c r="T50" s="633">
        <v>0</v>
      </c>
      <c r="U50" s="633">
        <v>0</v>
      </c>
      <c r="V50" s="633">
        <v>0</v>
      </c>
      <c r="X50" s="241"/>
    </row>
    <row r="51" spans="3:24" s="604" customFormat="1" outlineLevel="1">
      <c r="C51" s="652" t="s">
        <v>716</v>
      </c>
      <c r="D51" s="653"/>
      <c r="E51" s="654"/>
      <c r="F51" s="654"/>
      <c r="G51" s="646"/>
      <c r="H51" s="646"/>
      <c r="I51" s="646"/>
      <c r="J51" s="646"/>
      <c r="K51" s="646"/>
      <c r="L51" s="646"/>
      <c r="M51" s="633">
        <v>0</v>
      </c>
      <c r="N51" s="633">
        <v>0</v>
      </c>
      <c r="O51" s="633">
        <v>0</v>
      </c>
      <c r="P51" s="633">
        <v>0</v>
      </c>
      <c r="Q51" s="633">
        <v>0</v>
      </c>
      <c r="R51" s="633">
        <v>0</v>
      </c>
      <c r="S51" s="633">
        <v>0</v>
      </c>
      <c r="T51" s="633">
        <v>0</v>
      </c>
      <c r="U51" s="633">
        <v>0</v>
      </c>
      <c r="V51" s="633">
        <v>0</v>
      </c>
      <c r="X51" s="241"/>
    </row>
    <row r="52" spans="3:24" s="604" customFormat="1" outlineLevel="1">
      <c r="C52" s="652" t="s">
        <v>716</v>
      </c>
      <c r="D52" s="653"/>
      <c r="E52" s="654"/>
      <c r="F52" s="654"/>
      <c r="G52" s="646"/>
      <c r="H52" s="646"/>
      <c r="I52" s="646"/>
      <c r="J52" s="646"/>
      <c r="K52" s="646"/>
      <c r="L52" s="646"/>
      <c r="M52" s="633">
        <v>0</v>
      </c>
      <c r="N52" s="633">
        <v>0</v>
      </c>
      <c r="O52" s="633">
        <v>0</v>
      </c>
      <c r="P52" s="633">
        <v>0</v>
      </c>
      <c r="Q52" s="633">
        <v>0</v>
      </c>
      <c r="R52" s="633">
        <v>0</v>
      </c>
      <c r="S52" s="633">
        <v>0</v>
      </c>
      <c r="T52" s="633">
        <v>0</v>
      </c>
      <c r="U52" s="633">
        <v>0</v>
      </c>
      <c r="V52" s="633">
        <v>0</v>
      </c>
      <c r="X52" s="241"/>
    </row>
    <row r="53" spans="3:24" s="604" customFormat="1" outlineLevel="1">
      <c r="C53" s="652" t="s">
        <v>716</v>
      </c>
      <c r="D53" s="653"/>
      <c r="E53" s="654"/>
      <c r="F53" s="654"/>
      <c r="G53" s="646"/>
      <c r="H53" s="646"/>
      <c r="I53" s="646"/>
      <c r="J53" s="646"/>
      <c r="K53" s="646"/>
      <c r="L53" s="646"/>
      <c r="M53" s="633">
        <v>0</v>
      </c>
      <c r="N53" s="633">
        <v>0</v>
      </c>
      <c r="O53" s="633">
        <v>0</v>
      </c>
      <c r="P53" s="633">
        <v>0</v>
      </c>
      <c r="Q53" s="633">
        <v>0</v>
      </c>
      <c r="R53" s="633">
        <v>0</v>
      </c>
      <c r="S53" s="633">
        <v>0</v>
      </c>
      <c r="T53" s="633">
        <v>0</v>
      </c>
      <c r="U53" s="633">
        <v>0</v>
      </c>
      <c r="V53" s="633">
        <v>0</v>
      </c>
      <c r="X53" s="241"/>
    </row>
    <row r="54" spans="3:24" s="604" customFormat="1" outlineLevel="1">
      <c r="C54" s="652" t="s">
        <v>716</v>
      </c>
      <c r="D54" s="653"/>
      <c r="E54" s="654"/>
      <c r="F54" s="654"/>
      <c r="G54" s="646"/>
      <c r="H54" s="646"/>
      <c r="I54" s="646"/>
      <c r="J54" s="646"/>
      <c r="K54" s="646"/>
      <c r="L54" s="646"/>
      <c r="M54" s="633">
        <v>0</v>
      </c>
      <c r="N54" s="633">
        <v>0</v>
      </c>
      <c r="O54" s="633">
        <v>0</v>
      </c>
      <c r="P54" s="633">
        <v>0</v>
      </c>
      <c r="Q54" s="633">
        <v>0</v>
      </c>
      <c r="R54" s="633">
        <v>0</v>
      </c>
      <c r="S54" s="633">
        <v>0</v>
      </c>
      <c r="T54" s="633">
        <v>0</v>
      </c>
      <c r="U54" s="633">
        <v>0</v>
      </c>
      <c r="V54" s="633">
        <v>0</v>
      </c>
      <c r="X54" s="241"/>
    </row>
    <row r="55" spans="3:24" s="604" customFormat="1" outlineLevel="1">
      <c r="C55" s="652" t="s">
        <v>716</v>
      </c>
      <c r="D55" s="653"/>
      <c r="E55" s="654"/>
      <c r="F55" s="654"/>
      <c r="G55" s="646"/>
      <c r="H55" s="646"/>
      <c r="I55" s="646"/>
      <c r="J55" s="646"/>
      <c r="K55" s="646"/>
      <c r="L55" s="646"/>
      <c r="M55" s="633">
        <v>0</v>
      </c>
      <c r="N55" s="633">
        <v>0</v>
      </c>
      <c r="O55" s="633">
        <v>0</v>
      </c>
      <c r="P55" s="633">
        <v>0</v>
      </c>
      <c r="Q55" s="633">
        <v>0</v>
      </c>
      <c r="R55" s="633">
        <v>0</v>
      </c>
      <c r="S55" s="633">
        <v>0</v>
      </c>
      <c r="T55" s="633">
        <v>0</v>
      </c>
      <c r="U55" s="633">
        <v>0</v>
      </c>
      <c r="V55" s="633">
        <v>0</v>
      </c>
      <c r="X55" s="241"/>
    </row>
    <row r="56" spans="3:24" s="604" customFormat="1" outlineLevel="1">
      <c r="C56" s="652" t="s">
        <v>716</v>
      </c>
      <c r="D56" s="653"/>
      <c r="E56" s="654"/>
      <c r="F56" s="654"/>
      <c r="G56" s="646"/>
      <c r="H56" s="646"/>
      <c r="I56" s="646"/>
      <c r="J56" s="646"/>
      <c r="K56" s="646"/>
      <c r="L56" s="646"/>
      <c r="M56" s="633">
        <v>0</v>
      </c>
      <c r="N56" s="633">
        <v>0</v>
      </c>
      <c r="O56" s="633">
        <v>0</v>
      </c>
      <c r="P56" s="633">
        <v>0</v>
      </c>
      <c r="Q56" s="633">
        <v>0</v>
      </c>
      <c r="R56" s="633">
        <v>0</v>
      </c>
      <c r="S56" s="633">
        <v>0</v>
      </c>
      <c r="T56" s="633">
        <v>0</v>
      </c>
      <c r="U56" s="633">
        <v>0</v>
      </c>
      <c r="V56" s="633">
        <v>0</v>
      </c>
      <c r="X56" s="241"/>
    </row>
    <row r="57" spans="3:24" s="604" customFormat="1" outlineLevel="1">
      <c r="C57" s="652" t="s">
        <v>716</v>
      </c>
      <c r="D57" s="653"/>
      <c r="E57" s="654"/>
      <c r="F57" s="654"/>
      <c r="G57" s="646"/>
      <c r="H57" s="646"/>
      <c r="I57" s="646"/>
      <c r="J57" s="646"/>
      <c r="K57" s="646"/>
      <c r="L57" s="646"/>
      <c r="M57" s="633">
        <v>0</v>
      </c>
      <c r="N57" s="633">
        <v>0</v>
      </c>
      <c r="O57" s="633">
        <v>0</v>
      </c>
      <c r="P57" s="633">
        <v>0</v>
      </c>
      <c r="Q57" s="633">
        <v>0</v>
      </c>
      <c r="R57" s="633">
        <v>0</v>
      </c>
      <c r="S57" s="633">
        <v>0</v>
      </c>
      <c r="T57" s="633">
        <v>0</v>
      </c>
      <c r="U57" s="633">
        <v>0</v>
      </c>
      <c r="V57" s="633">
        <v>0</v>
      </c>
      <c r="X57" s="241"/>
    </row>
    <row r="58" spans="3:24" s="604" customFormat="1" outlineLevel="1">
      <c r="C58" s="652" t="s">
        <v>716</v>
      </c>
      <c r="D58" s="653"/>
      <c r="E58" s="654"/>
      <c r="F58" s="654"/>
      <c r="G58" s="646"/>
      <c r="H58" s="646"/>
      <c r="I58" s="646"/>
      <c r="J58" s="646"/>
      <c r="K58" s="646"/>
      <c r="L58" s="646"/>
      <c r="M58" s="633">
        <v>0</v>
      </c>
      <c r="N58" s="633">
        <v>0</v>
      </c>
      <c r="O58" s="633">
        <v>0</v>
      </c>
      <c r="P58" s="633">
        <v>0</v>
      </c>
      <c r="Q58" s="633">
        <v>0</v>
      </c>
      <c r="R58" s="633">
        <v>0</v>
      </c>
      <c r="S58" s="633">
        <v>0</v>
      </c>
      <c r="T58" s="633">
        <v>0</v>
      </c>
      <c r="U58" s="633">
        <v>0</v>
      </c>
      <c r="V58" s="633">
        <v>0</v>
      </c>
      <c r="X58" s="241"/>
    </row>
    <row r="59" spans="3:24" s="604" customFormat="1" outlineLevel="1">
      <c r="C59" s="655" t="s">
        <v>717</v>
      </c>
      <c r="D59" s="646"/>
      <c r="E59" s="647"/>
      <c r="F59" s="647"/>
      <c r="G59" s="646"/>
      <c r="H59" s="646"/>
      <c r="I59" s="646"/>
      <c r="J59" s="646"/>
      <c r="K59" s="646"/>
      <c r="L59" s="646"/>
      <c r="M59" s="721">
        <v>262.40677787586361</v>
      </c>
      <c r="N59" s="722">
        <v>399.62925049190147</v>
      </c>
      <c r="O59" s="722">
        <v>296.59316769236932</v>
      </c>
      <c r="P59" s="722">
        <v>249.559146710269</v>
      </c>
      <c r="Q59" s="722">
        <v>224.76006146983627</v>
      </c>
      <c r="R59" s="722">
        <v>231.31240076705012</v>
      </c>
      <c r="S59" s="723">
        <v>227.65476808808012</v>
      </c>
      <c r="T59" s="724">
        <v>219.56327073418143</v>
      </c>
      <c r="U59" s="725">
        <v>193.19611206514048</v>
      </c>
      <c r="V59" s="722">
        <v>163.28794123526464</v>
      </c>
      <c r="X59" s="656">
        <v>0</v>
      </c>
    </row>
    <row r="60" spans="3:24" s="604" customFormat="1" outlineLevel="1">
      <c r="C60" s="645" t="s">
        <v>718</v>
      </c>
      <c r="D60" s="646"/>
      <c r="E60" s="647"/>
      <c r="F60" s="647"/>
      <c r="G60" s="646"/>
      <c r="H60" s="646"/>
      <c r="I60" s="646"/>
      <c r="J60" s="646"/>
      <c r="K60" s="646"/>
      <c r="L60" s="646"/>
      <c r="M60" s="633">
        <v>0</v>
      </c>
      <c r="N60" s="633">
        <v>0</v>
      </c>
      <c r="O60" s="633">
        <v>0</v>
      </c>
      <c r="P60" s="633">
        <v>0</v>
      </c>
      <c r="Q60" s="633">
        <v>0</v>
      </c>
      <c r="R60" s="633">
        <v>0</v>
      </c>
      <c r="S60" s="633">
        <v>0</v>
      </c>
      <c r="T60" s="633">
        <v>0</v>
      </c>
      <c r="U60" s="633">
        <v>0</v>
      </c>
      <c r="V60" s="633">
        <v>0</v>
      </c>
      <c r="X60" s="241"/>
    </row>
    <row r="61" spans="3:24" s="604" customFormat="1" outlineLevel="1">
      <c r="C61" s="645" t="s">
        <v>719</v>
      </c>
      <c r="D61" s="646"/>
      <c r="E61" s="647"/>
      <c r="F61" s="647"/>
      <c r="G61" s="646"/>
      <c r="H61" s="646"/>
      <c r="I61" s="646"/>
      <c r="J61" s="646"/>
      <c r="K61" s="646"/>
      <c r="L61" s="646"/>
      <c r="M61" s="633">
        <v>0.28329284999999998</v>
      </c>
      <c r="N61" s="633">
        <v>0.30700746999999995</v>
      </c>
      <c r="O61" s="633">
        <v>0.28404590000000002</v>
      </c>
      <c r="P61" s="633">
        <v>0.27436445682940558</v>
      </c>
      <c r="Q61" s="633">
        <v>0</v>
      </c>
      <c r="R61" s="633">
        <v>0.1</v>
      </c>
      <c r="S61" s="633">
        <v>0.1</v>
      </c>
      <c r="T61" s="633">
        <v>0.1</v>
      </c>
      <c r="U61" s="633">
        <v>0.1</v>
      </c>
      <c r="V61" s="633">
        <v>0.1</v>
      </c>
      <c r="X61" s="241"/>
    </row>
    <row r="62" spans="3:24" s="604" customFormat="1" outlineLevel="1">
      <c r="C62" s="645" t="s">
        <v>720</v>
      </c>
      <c r="D62" s="646"/>
      <c r="E62" s="647"/>
      <c r="F62" s="647"/>
      <c r="G62" s="646"/>
      <c r="H62" s="646"/>
      <c r="I62" s="646"/>
      <c r="J62" s="646"/>
      <c r="K62" s="646"/>
      <c r="L62" s="646"/>
      <c r="M62" s="633">
        <v>0</v>
      </c>
      <c r="N62" s="633">
        <v>0</v>
      </c>
      <c r="O62" s="633">
        <v>0</v>
      </c>
      <c r="P62" s="633">
        <v>0</v>
      </c>
      <c r="Q62" s="633">
        <v>0</v>
      </c>
      <c r="R62" s="633">
        <v>0</v>
      </c>
      <c r="S62" s="633">
        <v>0</v>
      </c>
      <c r="T62" s="633">
        <v>0</v>
      </c>
      <c r="U62" s="633">
        <v>0</v>
      </c>
      <c r="V62" s="633">
        <v>0</v>
      </c>
      <c r="X62" s="241"/>
    </row>
    <row r="63" spans="3:24" s="604" customFormat="1" outlineLevel="1">
      <c r="C63" s="645" t="s">
        <v>721</v>
      </c>
      <c r="D63" s="646"/>
      <c r="E63" s="647"/>
      <c r="F63" s="647"/>
      <c r="G63" s="646"/>
      <c r="H63" s="646"/>
      <c r="I63" s="646"/>
      <c r="J63" s="646"/>
      <c r="K63" s="646"/>
      <c r="L63" s="646"/>
      <c r="M63" s="633">
        <v>0</v>
      </c>
      <c r="N63" s="633">
        <v>0</v>
      </c>
      <c r="O63" s="633">
        <v>0</v>
      </c>
      <c r="P63" s="633">
        <v>0</v>
      </c>
      <c r="Q63" s="633">
        <v>0</v>
      </c>
      <c r="R63" s="633">
        <v>0</v>
      </c>
      <c r="S63" s="633">
        <v>0</v>
      </c>
      <c r="T63" s="633">
        <v>0</v>
      </c>
      <c r="U63" s="633">
        <v>0</v>
      </c>
      <c r="V63" s="633">
        <v>0</v>
      </c>
      <c r="X63" s="241"/>
    </row>
    <row r="64" spans="3:24" s="604" customFormat="1" outlineLevel="1">
      <c r="C64" s="645" t="s">
        <v>722</v>
      </c>
      <c r="D64" s="646"/>
      <c r="E64" s="647"/>
      <c r="F64" s="647"/>
      <c r="G64" s="646"/>
      <c r="H64" s="646"/>
      <c r="I64" s="646"/>
      <c r="J64" s="646"/>
      <c r="K64" s="646"/>
      <c r="L64" s="646"/>
      <c r="M64" s="633">
        <v>0.2824158799999999</v>
      </c>
      <c r="N64" s="633">
        <v>3.0097344699999997</v>
      </c>
      <c r="O64" s="633">
        <v>1.9666726999999986</v>
      </c>
      <c r="P64" s="633">
        <v>0.57600000000000007</v>
      </c>
      <c r="Q64" s="633">
        <v>0.57600000000000007</v>
      </c>
      <c r="R64" s="633">
        <v>0.57600000000000007</v>
      </c>
      <c r="S64" s="633">
        <v>0.57600000000000007</v>
      </c>
      <c r="T64" s="633">
        <v>0.57600000000000007</v>
      </c>
      <c r="U64" s="633">
        <v>0.57600000000000007</v>
      </c>
      <c r="V64" s="633">
        <v>0.57600000000000007</v>
      </c>
      <c r="X64" s="241"/>
    </row>
    <row r="65" spans="3:24" s="604" customFormat="1" outlineLevel="1">
      <c r="C65" s="645" t="s">
        <v>723</v>
      </c>
      <c r="D65" s="646"/>
      <c r="E65" s="647"/>
      <c r="F65" s="647"/>
      <c r="G65" s="646"/>
      <c r="H65" s="646"/>
      <c r="I65" s="646"/>
      <c r="J65" s="646"/>
      <c r="K65" s="646"/>
      <c r="L65" s="646"/>
      <c r="M65" s="633">
        <v>0</v>
      </c>
      <c r="N65" s="633">
        <v>0</v>
      </c>
      <c r="O65" s="633">
        <v>0</v>
      </c>
      <c r="P65" s="633">
        <v>0</v>
      </c>
      <c r="Q65" s="633">
        <v>0</v>
      </c>
      <c r="R65" s="633">
        <v>0</v>
      </c>
      <c r="S65" s="633">
        <v>0</v>
      </c>
      <c r="T65" s="633">
        <v>0</v>
      </c>
      <c r="U65" s="633">
        <v>0</v>
      </c>
      <c r="V65" s="633">
        <v>0</v>
      </c>
      <c r="X65" s="241"/>
    </row>
    <row r="66" spans="3:24" s="604" customFormat="1" outlineLevel="1">
      <c r="C66" s="645" t="s">
        <v>724</v>
      </c>
      <c r="D66" s="646"/>
      <c r="E66" s="654"/>
      <c r="F66" s="654"/>
      <c r="G66" s="646"/>
      <c r="H66" s="646"/>
      <c r="I66" s="646"/>
      <c r="J66" s="646"/>
      <c r="K66" s="646"/>
      <c r="L66" s="646"/>
      <c r="M66" s="633">
        <v>0</v>
      </c>
      <c r="N66" s="633">
        <v>0</v>
      </c>
      <c r="O66" s="633">
        <v>0</v>
      </c>
      <c r="P66" s="633">
        <v>0</v>
      </c>
      <c r="Q66" s="633">
        <v>0</v>
      </c>
      <c r="R66" s="633">
        <v>0</v>
      </c>
      <c r="S66" s="633">
        <v>0</v>
      </c>
      <c r="T66" s="633">
        <v>0</v>
      </c>
      <c r="U66" s="633">
        <v>0</v>
      </c>
      <c r="V66" s="633">
        <v>0</v>
      </c>
      <c r="X66" s="241"/>
    </row>
    <row r="67" spans="3:24" s="604" customFormat="1" outlineLevel="1">
      <c r="C67" s="645" t="s">
        <v>725</v>
      </c>
      <c r="D67" s="646"/>
      <c r="E67" s="654"/>
      <c r="F67" s="654"/>
      <c r="G67" s="646"/>
      <c r="H67" s="646"/>
      <c r="I67" s="646"/>
      <c r="J67" s="646"/>
      <c r="K67" s="646"/>
      <c r="L67" s="646"/>
      <c r="M67" s="633">
        <v>0</v>
      </c>
      <c r="N67" s="633">
        <v>0</v>
      </c>
      <c r="O67" s="633">
        <v>0</v>
      </c>
      <c r="P67" s="633">
        <v>0</v>
      </c>
      <c r="Q67" s="633">
        <v>0</v>
      </c>
      <c r="R67" s="633">
        <v>0</v>
      </c>
      <c r="S67" s="633">
        <v>0</v>
      </c>
      <c r="T67" s="633">
        <v>0</v>
      </c>
      <c r="U67" s="633">
        <v>0</v>
      </c>
      <c r="V67" s="633">
        <v>0</v>
      </c>
      <c r="X67" s="241"/>
    </row>
    <row r="68" spans="3:24" s="604" customFormat="1" outlineLevel="1">
      <c r="C68" s="645" t="s">
        <v>1228</v>
      </c>
      <c r="D68" s="646"/>
      <c r="E68" s="654"/>
      <c r="F68" s="654"/>
      <c r="G68" s="646"/>
      <c r="H68" s="646"/>
      <c r="I68" s="646"/>
      <c r="J68" s="646"/>
      <c r="K68" s="646"/>
      <c r="L68" s="646"/>
      <c r="M68" s="633">
        <v>2.0715935500000002</v>
      </c>
      <c r="N68" s="633">
        <v>0.47992902999999987</v>
      </c>
      <c r="O68" s="633">
        <v>0</v>
      </c>
      <c r="P68" s="633">
        <v>1.3724999999999998</v>
      </c>
      <c r="Q68" s="633">
        <v>1.3724999999999998</v>
      </c>
      <c r="R68" s="633">
        <v>1.3724999999999998</v>
      </c>
      <c r="S68" s="633">
        <v>1.3724999999999998</v>
      </c>
      <c r="T68" s="633">
        <v>1.2374999999999998</v>
      </c>
      <c r="U68" s="633">
        <v>1.9375</v>
      </c>
      <c r="V68" s="633">
        <v>1.9375</v>
      </c>
      <c r="X68" s="241"/>
    </row>
    <row r="69" spans="3:24" s="604" customFormat="1" outlineLevel="1">
      <c r="C69" s="645" t="s">
        <v>1229</v>
      </c>
      <c r="D69" s="646"/>
      <c r="E69" s="654"/>
      <c r="F69" s="654"/>
      <c r="G69" s="646"/>
      <c r="H69" s="646"/>
      <c r="I69" s="646"/>
      <c r="J69" s="646"/>
      <c r="K69" s="646"/>
      <c r="L69" s="646"/>
      <c r="M69" s="633">
        <v>2.2028046199999936</v>
      </c>
      <c r="N69" s="633">
        <v>4.8071688899999998</v>
      </c>
      <c r="O69" s="633">
        <v>3.0948219199999998</v>
      </c>
      <c r="P69" s="633">
        <v>3.1435497985872614</v>
      </c>
      <c r="Q69" s="633">
        <v>3.0911244600216339</v>
      </c>
      <c r="R69" s="633">
        <v>3.1004100004414052</v>
      </c>
      <c r="S69" s="633">
        <v>3.4267767935017908</v>
      </c>
      <c r="T69" s="633">
        <v>3.2667140631180303</v>
      </c>
      <c r="U69" s="633">
        <v>4.1699994759278569</v>
      </c>
      <c r="V69" s="633">
        <v>4.1885232203278999</v>
      </c>
      <c r="X69" s="241"/>
    </row>
    <row r="70" spans="3:24" s="604" customFormat="1" outlineLevel="1">
      <c r="C70" s="645" t="s">
        <v>1230</v>
      </c>
      <c r="D70" s="646"/>
      <c r="E70" s="654"/>
      <c r="F70" s="654"/>
      <c r="G70" s="646"/>
      <c r="H70" s="646"/>
      <c r="I70" s="646"/>
      <c r="J70" s="646"/>
      <c r="K70" s="646"/>
      <c r="L70" s="646"/>
      <c r="M70" s="633">
        <v>77.819520879999999</v>
      </c>
      <c r="N70" s="633">
        <v>-158</v>
      </c>
      <c r="O70" s="633">
        <v>-27.193917420000091</v>
      </c>
      <c r="P70" s="633">
        <v>0</v>
      </c>
      <c r="Q70" s="633">
        <v>0</v>
      </c>
      <c r="R70" s="633">
        <v>0</v>
      </c>
      <c r="S70" s="633">
        <v>0</v>
      </c>
      <c r="T70" s="633">
        <v>0</v>
      </c>
      <c r="U70" s="633">
        <v>0</v>
      </c>
      <c r="V70" s="633">
        <v>0</v>
      </c>
      <c r="X70" s="241"/>
    </row>
    <row r="71" spans="3:24" s="604" customFormat="1" outlineLevel="1">
      <c r="C71" s="645" t="s">
        <v>1231</v>
      </c>
      <c r="D71" s="646"/>
      <c r="E71" s="654"/>
      <c r="F71" s="654"/>
      <c r="G71" s="646"/>
      <c r="H71" s="646"/>
      <c r="I71" s="646"/>
      <c r="J71" s="646"/>
      <c r="K71" s="646"/>
      <c r="L71" s="646"/>
      <c r="M71" s="633">
        <v>0</v>
      </c>
      <c r="N71" s="633">
        <v>0</v>
      </c>
      <c r="O71" s="633">
        <v>0</v>
      </c>
      <c r="P71" s="633">
        <v>0</v>
      </c>
      <c r="Q71" s="633">
        <v>0</v>
      </c>
      <c r="R71" s="633">
        <v>0</v>
      </c>
      <c r="S71" s="633">
        <v>0</v>
      </c>
      <c r="T71" s="633">
        <v>0</v>
      </c>
      <c r="U71" s="633">
        <v>0</v>
      </c>
      <c r="V71" s="633">
        <v>0</v>
      </c>
      <c r="X71" s="241"/>
    </row>
    <row r="72" spans="3:24" s="604" customFormat="1" outlineLevel="1">
      <c r="C72" s="645" t="s">
        <v>1232</v>
      </c>
      <c r="D72" s="646"/>
      <c r="E72" s="654"/>
      <c r="F72" s="654"/>
      <c r="G72" s="646"/>
      <c r="H72" s="646"/>
      <c r="I72" s="646"/>
      <c r="J72" s="646"/>
      <c r="K72" s="646"/>
      <c r="L72" s="646"/>
      <c r="M72" s="633">
        <v>8.356848999999987E-2</v>
      </c>
      <c r="N72" s="633">
        <v>0</v>
      </c>
      <c r="O72" s="633">
        <v>0</v>
      </c>
      <c r="P72" s="633">
        <v>0</v>
      </c>
      <c r="Q72" s="633">
        <v>0</v>
      </c>
      <c r="R72" s="633">
        <v>0</v>
      </c>
      <c r="S72" s="633">
        <v>0</v>
      </c>
      <c r="T72" s="633">
        <v>0</v>
      </c>
      <c r="U72" s="633">
        <v>0</v>
      </c>
      <c r="V72" s="633">
        <v>0</v>
      </c>
      <c r="X72" s="241"/>
    </row>
    <row r="73" spans="3:24" s="604" customFormat="1" outlineLevel="1">
      <c r="C73" s="645" t="s">
        <v>1233</v>
      </c>
      <c r="D73" s="646"/>
      <c r="E73" s="654"/>
      <c r="F73" s="654"/>
      <c r="G73" s="646"/>
      <c r="H73" s="646"/>
      <c r="I73" s="646"/>
      <c r="J73" s="646"/>
      <c r="K73" s="646"/>
      <c r="L73" s="646"/>
      <c r="M73" s="633">
        <v>-5.1306416658636884</v>
      </c>
      <c r="N73" s="633">
        <v>1.9080176180983983</v>
      </c>
      <c r="O73" s="633">
        <v>-1.6039496476337907</v>
      </c>
      <c r="P73" s="633">
        <v>0</v>
      </c>
      <c r="Q73" s="633">
        <v>0</v>
      </c>
      <c r="R73" s="633">
        <v>0</v>
      </c>
      <c r="S73" s="633">
        <v>0</v>
      </c>
      <c r="T73" s="633">
        <v>0</v>
      </c>
      <c r="U73" s="633">
        <v>0</v>
      </c>
      <c r="V73" s="633">
        <v>0</v>
      </c>
      <c r="X73" s="241"/>
    </row>
    <row r="74" spans="3:24" s="604" customFormat="1" outlineLevel="1">
      <c r="C74" s="645" t="s">
        <v>1234</v>
      </c>
      <c r="D74" s="646"/>
      <c r="E74" s="654"/>
      <c r="F74" s="654"/>
      <c r="G74" s="646"/>
      <c r="H74" s="646"/>
      <c r="I74" s="646"/>
      <c r="J74" s="646"/>
      <c r="K74" s="646"/>
      <c r="L74" s="646"/>
      <c r="M74" s="633">
        <v>-13.819698439999998</v>
      </c>
      <c r="N74" s="633">
        <v>-14.963229609999999</v>
      </c>
      <c r="O74" s="633">
        <v>-15.535199629999999</v>
      </c>
      <c r="P74" s="633">
        <v>-3.7789985591600463</v>
      </c>
      <c r="Q74" s="633">
        <v>-3.2317871291445792</v>
      </c>
      <c r="R74" s="633">
        <v>-4.0239993791731523</v>
      </c>
      <c r="S74" s="633">
        <v>-5.3863195624922664</v>
      </c>
      <c r="T74" s="633">
        <v>-6.5059967502672222</v>
      </c>
      <c r="U74" s="633">
        <v>-7.838763557430573</v>
      </c>
      <c r="V74" s="633">
        <v>-9.1375961505129712</v>
      </c>
      <c r="X74" s="241"/>
    </row>
    <row r="75" spans="3:24" s="604" customFormat="1" outlineLevel="1">
      <c r="C75" s="655" t="s">
        <v>726</v>
      </c>
      <c r="D75" s="646"/>
      <c r="E75" s="657"/>
      <c r="F75" s="657"/>
      <c r="G75" s="646"/>
      <c r="H75" s="646"/>
      <c r="I75" s="646"/>
      <c r="J75" s="646"/>
      <c r="K75" s="646"/>
      <c r="L75" s="646"/>
      <c r="M75" s="698">
        <v>326.19963403999992</v>
      </c>
      <c r="N75" s="699">
        <v>237.17787835999985</v>
      </c>
      <c r="O75" s="699">
        <v>257.60564151473545</v>
      </c>
      <c r="P75" s="699">
        <v>251.14656240652562</v>
      </c>
      <c r="Q75" s="699">
        <v>226.56789880071332</v>
      </c>
      <c r="R75" s="699">
        <v>232.43731138831836</v>
      </c>
      <c r="S75" s="700">
        <v>227.74372531908963</v>
      </c>
      <c r="T75" s="701">
        <v>218.23748804703223</v>
      </c>
      <c r="U75" s="702">
        <v>192.14084798363774</v>
      </c>
      <c r="V75" s="699">
        <v>160.95236830507957</v>
      </c>
      <c r="X75" s="656">
        <v>0</v>
      </c>
    </row>
    <row r="76" spans="3:24" s="604" customFormat="1" outlineLevel="1">
      <c r="C76" s="658"/>
      <c r="D76" s="659"/>
      <c r="E76" s="660"/>
      <c r="F76" s="660"/>
      <c r="G76" s="659"/>
      <c r="H76" s="659"/>
      <c r="I76" s="659"/>
      <c r="J76" s="659"/>
      <c r="K76" s="659"/>
      <c r="L76" s="659"/>
      <c r="M76" s="661"/>
      <c r="N76" s="661"/>
      <c r="O76" s="661"/>
      <c r="P76" s="661"/>
      <c r="Q76" s="661"/>
      <c r="R76" s="661"/>
      <c r="S76" s="661"/>
      <c r="T76" s="662"/>
      <c r="U76" s="661"/>
      <c r="V76" s="661"/>
      <c r="X76" s="661"/>
    </row>
    <row r="77" spans="3:24" s="604" customFormat="1" outlineLevel="1">
      <c r="C77" s="663" t="s">
        <v>727</v>
      </c>
      <c r="D77" s="664"/>
      <c r="E77" s="664"/>
      <c r="F77" s="665"/>
      <c r="G77" s="664"/>
      <c r="H77" s="664"/>
      <c r="I77" s="664"/>
      <c r="J77" s="664"/>
      <c r="K77" s="664"/>
      <c r="L77" s="664"/>
      <c r="M77" s="661"/>
      <c r="N77" s="661"/>
      <c r="O77" s="661"/>
      <c r="P77" s="661"/>
      <c r="Q77" s="661"/>
      <c r="R77" s="661"/>
      <c r="S77" s="661"/>
      <c r="T77" s="662"/>
      <c r="U77" s="661"/>
      <c r="V77" s="661"/>
      <c r="X77" s="661"/>
    </row>
    <row r="78" spans="3:24" s="604" customFormat="1" outlineLevel="1">
      <c r="C78" s="645" t="s">
        <v>728</v>
      </c>
      <c r="D78" s="646"/>
      <c r="E78" s="647"/>
      <c r="F78" s="647"/>
      <c r="G78" s="646"/>
      <c r="H78" s="646"/>
      <c r="I78" s="646"/>
      <c r="J78" s="646"/>
      <c r="K78" s="646"/>
      <c r="L78" s="647"/>
      <c r="M78" s="633">
        <v>0</v>
      </c>
      <c r="N78" s="633">
        <v>0</v>
      </c>
      <c r="O78" s="633">
        <v>0</v>
      </c>
      <c r="P78" s="633">
        <v>0</v>
      </c>
      <c r="Q78" s="633">
        <v>0</v>
      </c>
      <c r="R78" s="633">
        <v>0</v>
      </c>
      <c r="S78" s="633">
        <v>0</v>
      </c>
      <c r="T78" s="633">
        <v>0</v>
      </c>
      <c r="U78" s="633">
        <v>0</v>
      </c>
      <c r="V78" s="633">
        <v>0</v>
      </c>
      <c r="X78" s="241"/>
    </row>
    <row r="79" spans="3:24" s="604" customFormat="1" outlineLevel="1">
      <c r="C79" s="647" t="s">
        <v>729</v>
      </c>
      <c r="D79" s="646"/>
      <c r="E79" s="647"/>
      <c r="F79" s="647"/>
      <c r="G79" s="646"/>
      <c r="H79" s="646"/>
      <c r="I79" s="646"/>
      <c r="J79" s="646"/>
      <c r="K79" s="646"/>
      <c r="L79" s="647"/>
      <c r="M79" s="633">
        <v>0</v>
      </c>
      <c r="N79" s="633">
        <v>0</v>
      </c>
      <c r="O79" s="633">
        <v>0</v>
      </c>
      <c r="P79" s="633">
        <v>0</v>
      </c>
      <c r="Q79" s="633">
        <v>0</v>
      </c>
      <c r="R79" s="633">
        <v>0</v>
      </c>
      <c r="S79" s="633">
        <v>0</v>
      </c>
      <c r="T79" s="633">
        <v>0</v>
      </c>
      <c r="U79" s="633">
        <v>0</v>
      </c>
      <c r="V79" s="633">
        <v>0</v>
      </c>
      <c r="X79" s="241"/>
    </row>
    <row r="80" spans="3:24" s="604" customFormat="1" outlineLevel="1">
      <c r="C80" s="647" t="s">
        <v>730</v>
      </c>
      <c r="D80" s="646"/>
      <c r="E80" s="647"/>
      <c r="F80" s="647"/>
      <c r="G80" s="646"/>
      <c r="H80" s="646"/>
      <c r="I80" s="646"/>
      <c r="J80" s="646"/>
      <c r="K80" s="646"/>
      <c r="L80" s="647"/>
      <c r="M80" s="633">
        <v>0</v>
      </c>
      <c r="N80" s="633">
        <v>0</v>
      </c>
      <c r="O80" s="633">
        <v>0</v>
      </c>
      <c r="P80" s="633">
        <v>0</v>
      </c>
      <c r="Q80" s="633">
        <v>0</v>
      </c>
      <c r="R80" s="633">
        <v>0</v>
      </c>
      <c r="S80" s="633">
        <v>0</v>
      </c>
      <c r="T80" s="633">
        <v>0</v>
      </c>
      <c r="U80" s="633">
        <v>0</v>
      </c>
      <c r="V80" s="633">
        <v>0</v>
      </c>
      <c r="X80" s="241"/>
    </row>
    <row r="81" spans="2:24" s="604" customFormat="1" outlineLevel="1">
      <c r="B81" s="627" t="s">
        <v>851</v>
      </c>
      <c r="C81" s="651" t="s">
        <v>852</v>
      </c>
      <c r="D81" s="648"/>
      <c r="E81" s="649"/>
      <c r="F81" s="649"/>
      <c r="G81" s="646"/>
      <c r="H81" s="646"/>
      <c r="I81" s="646"/>
      <c r="J81" s="646"/>
      <c r="K81" s="646"/>
      <c r="L81" s="647"/>
      <c r="M81" s="726">
        <v>0</v>
      </c>
      <c r="N81" s="727">
        <v>0</v>
      </c>
      <c r="O81" s="727">
        <v>0</v>
      </c>
      <c r="P81" s="727">
        <v>0</v>
      </c>
      <c r="Q81" s="727">
        <v>0</v>
      </c>
      <c r="R81" s="727">
        <v>0</v>
      </c>
      <c r="S81" s="728">
        <v>0</v>
      </c>
      <c r="T81" s="729">
        <v>0</v>
      </c>
      <c r="U81" s="730">
        <v>0</v>
      </c>
      <c r="V81" s="727">
        <v>0</v>
      </c>
      <c r="X81" s="666">
        <v>0</v>
      </c>
    </row>
    <row r="82" spans="2:24" s="604" customFormat="1" outlineLevel="1">
      <c r="C82" s="655" t="s">
        <v>731</v>
      </c>
      <c r="D82" s="646"/>
      <c r="E82" s="647"/>
      <c r="F82" s="647"/>
      <c r="G82" s="646"/>
      <c r="H82" s="646"/>
      <c r="I82" s="646"/>
      <c r="J82" s="646"/>
      <c r="K82" s="646"/>
      <c r="L82" s="647"/>
      <c r="M82" s="721">
        <v>0</v>
      </c>
      <c r="N82" s="722">
        <v>0</v>
      </c>
      <c r="O82" s="722">
        <v>0</v>
      </c>
      <c r="P82" s="722">
        <v>0</v>
      </c>
      <c r="Q82" s="722">
        <v>0</v>
      </c>
      <c r="R82" s="722">
        <v>0</v>
      </c>
      <c r="S82" s="723">
        <v>0</v>
      </c>
      <c r="T82" s="724">
        <v>0</v>
      </c>
      <c r="U82" s="725">
        <v>0</v>
      </c>
      <c r="V82" s="722">
        <v>0</v>
      </c>
      <c r="X82" s="656">
        <v>0</v>
      </c>
    </row>
    <row r="83" spans="2:24" s="604" customFormat="1" outlineLevel="1">
      <c r="C83" s="645" t="s">
        <v>732</v>
      </c>
      <c r="D83" s="646"/>
      <c r="E83" s="647"/>
      <c r="F83" s="647"/>
      <c r="G83" s="646"/>
      <c r="H83" s="646"/>
      <c r="I83" s="646"/>
      <c r="J83" s="646"/>
      <c r="K83" s="646"/>
      <c r="L83" s="647"/>
      <c r="M83" s="633">
        <v>-9</v>
      </c>
      <c r="N83" s="633">
        <v>-29</v>
      </c>
      <c r="O83" s="633">
        <v>-33</v>
      </c>
      <c r="P83" s="633">
        <v>-35</v>
      </c>
      <c r="Q83" s="633">
        <v>-35</v>
      </c>
      <c r="R83" s="633">
        <v>-35</v>
      </c>
      <c r="S83" s="633">
        <v>-35</v>
      </c>
      <c r="T83" s="633">
        <v>-35</v>
      </c>
      <c r="U83" s="633">
        <v>-35</v>
      </c>
      <c r="V83" s="633">
        <v>-35</v>
      </c>
      <c r="X83" s="241"/>
    </row>
    <row r="84" spans="2:24" s="604" customFormat="1" outlineLevel="1">
      <c r="C84" s="645" t="s">
        <v>733</v>
      </c>
      <c r="D84" s="646"/>
      <c r="E84" s="647"/>
      <c r="F84" s="647"/>
      <c r="G84" s="646"/>
      <c r="H84" s="646"/>
      <c r="I84" s="646"/>
      <c r="J84" s="646"/>
      <c r="K84" s="646"/>
      <c r="L84" s="647"/>
      <c r="M84" s="633">
        <v>-0.68099082999999994</v>
      </c>
      <c r="N84" s="633">
        <v>2.2581284099999999</v>
      </c>
      <c r="O84" s="633">
        <v>3.6939941599999995</v>
      </c>
      <c r="P84" s="633">
        <v>0</v>
      </c>
      <c r="Q84" s="633">
        <v>0</v>
      </c>
      <c r="R84" s="633">
        <v>0</v>
      </c>
      <c r="S84" s="633">
        <v>0</v>
      </c>
      <c r="T84" s="633">
        <v>0</v>
      </c>
      <c r="U84" s="633">
        <v>0</v>
      </c>
      <c r="V84" s="633">
        <v>0</v>
      </c>
      <c r="X84" s="241"/>
    </row>
    <row r="85" spans="2:24" s="604" customFormat="1" outlineLevel="1">
      <c r="C85" s="645" t="s">
        <v>734</v>
      </c>
      <c r="D85" s="646"/>
      <c r="E85" s="654"/>
      <c r="F85" s="654"/>
      <c r="G85" s="646"/>
      <c r="H85" s="646"/>
      <c r="I85" s="646"/>
      <c r="J85" s="646"/>
      <c r="K85" s="646"/>
      <c r="L85" s="646"/>
      <c r="M85" s="633">
        <v>0</v>
      </c>
      <c r="N85" s="633">
        <v>0</v>
      </c>
      <c r="O85" s="633">
        <v>0</v>
      </c>
      <c r="P85" s="633">
        <v>0</v>
      </c>
      <c r="Q85" s="633">
        <v>0</v>
      </c>
      <c r="R85" s="633">
        <v>0</v>
      </c>
      <c r="S85" s="633">
        <v>0</v>
      </c>
      <c r="T85" s="633">
        <v>0</v>
      </c>
      <c r="U85" s="633">
        <v>0</v>
      </c>
      <c r="V85" s="633">
        <v>0</v>
      </c>
      <c r="X85" s="241"/>
    </row>
    <row r="86" spans="2:24" s="604" customFormat="1" outlineLevel="1">
      <c r="C86" s="652" t="s">
        <v>735</v>
      </c>
      <c r="D86" s="653"/>
      <c r="E86" s="654"/>
      <c r="F86" s="654"/>
      <c r="G86" s="646"/>
      <c r="H86" s="646"/>
      <c r="I86" s="646"/>
      <c r="J86" s="646"/>
      <c r="K86" s="646"/>
      <c r="L86" s="647"/>
      <c r="M86" s="633">
        <v>-0.16517507999999997</v>
      </c>
      <c r="N86" s="633">
        <v>-5.4610124200000003</v>
      </c>
      <c r="O86" s="633">
        <v>-25.441515750000001</v>
      </c>
      <c r="P86" s="633">
        <v>-34.462000000000003</v>
      </c>
      <c r="Q86" s="633">
        <v>-2.7540472468890598</v>
      </c>
      <c r="R86" s="633">
        <v>-0.95583592665683836</v>
      </c>
      <c r="S86" s="633">
        <v>-1.4013225</v>
      </c>
      <c r="T86" s="633">
        <v>-1.41024375</v>
      </c>
      <c r="U86" s="633">
        <v>-1.44568125</v>
      </c>
      <c r="V86" s="633">
        <v>-1.49961375</v>
      </c>
      <c r="X86" s="241"/>
    </row>
    <row r="87" spans="2:24" s="604" customFormat="1" outlineLevel="1">
      <c r="C87" s="655" t="s">
        <v>736</v>
      </c>
      <c r="D87" s="646"/>
      <c r="E87" s="647"/>
      <c r="F87" s="647"/>
      <c r="G87" s="646"/>
      <c r="H87" s="646"/>
      <c r="I87" s="646"/>
      <c r="J87" s="646"/>
      <c r="K87" s="646"/>
      <c r="L87" s="647"/>
      <c r="M87" s="698">
        <v>-9.8461659099999999</v>
      </c>
      <c r="N87" s="699">
        <v>-32.202884009999998</v>
      </c>
      <c r="O87" s="699">
        <v>-54.747521590000005</v>
      </c>
      <c r="P87" s="699">
        <v>-69.462000000000003</v>
      </c>
      <c r="Q87" s="699">
        <v>-37.754047246889058</v>
      </c>
      <c r="R87" s="699">
        <v>-35.955835926656839</v>
      </c>
      <c r="S87" s="700">
        <v>-36.401322499999999</v>
      </c>
      <c r="T87" s="701">
        <v>-36.410243749999999</v>
      </c>
      <c r="U87" s="702">
        <v>-36.44568125</v>
      </c>
      <c r="V87" s="699">
        <v>-36.499613750000002</v>
      </c>
      <c r="X87" s="656">
        <v>0</v>
      </c>
    </row>
    <row r="88" spans="2:24" s="604" customFormat="1" outlineLevel="1">
      <c r="C88" s="667"/>
      <c r="D88" s="659"/>
      <c r="E88" s="660"/>
      <c r="F88" s="660"/>
      <c r="G88" s="659"/>
      <c r="H88" s="659"/>
      <c r="I88" s="659"/>
      <c r="J88" s="659"/>
      <c r="K88" s="659"/>
      <c r="L88" s="660"/>
      <c r="M88" s="661"/>
      <c r="N88" s="661"/>
      <c r="O88" s="661"/>
      <c r="P88" s="661"/>
      <c r="Q88" s="661"/>
      <c r="R88" s="661"/>
      <c r="S88" s="661"/>
      <c r="T88" s="662"/>
      <c r="U88" s="661"/>
      <c r="V88" s="661"/>
      <c r="X88" s="661"/>
    </row>
    <row r="89" spans="2:24" s="604" customFormat="1" outlineLevel="1">
      <c r="C89" s="668" t="s">
        <v>737</v>
      </c>
      <c r="D89" s="669"/>
      <c r="E89" s="669"/>
      <c r="F89" s="669"/>
      <c r="G89" s="664"/>
      <c r="H89" s="664"/>
      <c r="I89" s="664"/>
      <c r="J89" s="664"/>
      <c r="K89" s="664"/>
      <c r="L89" s="665"/>
      <c r="T89" s="636"/>
    </row>
    <row r="90" spans="2:24" s="604" customFormat="1" outlineLevel="1">
      <c r="C90" s="670" t="s">
        <v>738</v>
      </c>
      <c r="D90" s="670"/>
      <c r="E90" s="670"/>
      <c r="F90" s="670"/>
      <c r="G90" s="646"/>
      <c r="H90" s="646"/>
      <c r="I90" s="646"/>
      <c r="J90" s="646"/>
      <c r="K90" s="646"/>
      <c r="L90" s="646"/>
      <c r="M90" s="731">
        <v>326.19963403999992</v>
      </c>
      <c r="N90" s="732">
        <v>237.17787835999985</v>
      </c>
      <c r="O90" s="732">
        <v>257.60564151473545</v>
      </c>
      <c r="P90" s="732">
        <v>251.14656240652562</v>
      </c>
      <c r="Q90" s="732">
        <v>226.56789880071332</v>
      </c>
      <c r="R90" s="732">
        <v>232.43731138831836</v>
      </c>
      <c r="S90" s="733">
        <v>227.74372531908963</v>
      </c>
      <c r="T90" s="734">
        <v>218.23748804703223</v>
      </c>
      <c r="U90" s="735">
        <v>192.14084798363774</v>
      </c>
      <c r="V90" s="732">
        <v>160.95236830507957</v>
      </c>
      <c r="X90" s="650">
        <v>0</v>
      </c>
    </row>
    <row r="91" spans="2:24" s="604" customFormat="1" ht="12.75" customHeight="1" outlineLevel="1">
      <c r="C91" s="670" t="s">
        <v>739</v>
      </c>
      <c r="D91" s="671"/>
      <c r="E91" s="671"/>
      <c r="F91" s="671"/>
      <c r="G91" s="646"/>
      <c r="H91" s="646"/>
      <c r="I91" s="646"/>
      <c r="J91" s="646"/>
      <c r="K91" s="646"/>
      <c r="L91" s="646"/>
      <c r="M91" s="710">
        <v>-9.8461659099999999</v>
      </c>
      <c r="N91" s="711">
        <v>-32.202884009999998</v>
      </c>
      <c r="O91" s="711">
        <v>-54.747521590000005</v>
      </c>
      <c r="P91" s="711">
        <v>-69.462000000000003</v>
      </c>
      <c r="Q91" s="711">
        <v>-37.754047246889058</v>
      </c>
      <c r="R91" s="711">
        <v>-35.955835926656839</v>
      </c>
      <c r="S91" s="712">
        <v>-36.401322499999999</v>
      </c>
      <c r="T91" s="713">
        <v>-36.410243749999999</v>
      </c>
      <c r="U91" s="714">
        <v>-36.44568125</v>
      </c>
      <c r="V91" s="711">
        <v>-36.499613750000002</v>
      </c>
      <c r="X91" s="650">
        <v>0</v>
      </c>
    </row>
    <row r="92" spans="2:24" s="604" customFormat="1" outlineLevel="1">
      <c r="C92" s="670" t="s">
        <v>740</v>
      </c>
      <c r="D92" s="670"/>
      <c r="E92" s="670"/>
      <c r="F92" s="670"/>
      <c r="G92" s="646"/>
      <c r="H92" s="646"/>
      <c r="I92" s="646"/>
      <c r="J92" s="646"/>
      <c r="K92" s="646"/>
      <c r="L92" s="646"/>
      <c r="M92" s="703">
        <v>316.3534681299999</v>
      </c>
      <c r="N92" s="704">
        <v>204.97499434999986</v>
      </c>
      <c r="O92" s="704">
        <v>202.85811992473543</v>
      </c>
      <c r="P92" s="704">
        <v>181.68456240652563</v>
      </c>
      <c r="Q92" s="704">
        <v>188.81385155382426</v>
      </c>
      <c r="R92" s="704">
        <v>196.48147546166152</v>
      </c>
      <c r="S92" s="705">
        <v>191.34240281908964</v>
      </c>
      <c r="T92" s="706">
        <v>181.82724429703222</v>
      </c>
      <c r="U92" s="707">
        <v>155.69516673363773</v>
      </c>
      <c r="V92" s="704">
        <v>124.45275455507957</v>
      </c>
      <c r="X92" s="656">
        <v>0</v>
      </c>
    </row>
    <row r="93" spans="2:24" s="604" customFormat="1" outlineLevel="1">
      <c r="C93" s="659"/>
      <c r="D93" s="659"/>
      <c r="E93" s="659"/>
      <c r="F93" s="659"/>
      <c r="G93" s="659"/>
      <c r="H93" s="659"/>
      <c r="I93" s="659"/>
      <c r="J93" s="659"/>
      <c r="K93" s="659"/>
      <c r="L93" s="659"/>
      <c r="T93" s="636"/>
    </row>
    <row r="94" spans="2:24" s="604" customFormat="1" outlineLevel="1">
      <c r="B94" s="672"/>
      <c r="C94" s="673" t="s">
        <v>741</v>
      </c>
      <c r="D94" s="673"/>
      <c r="E94" s="664"/>
      <c r="F94" s="664"/>
      <c r="G94" s="664"/>
      <c r="H94" s="664"/>
      <c r="I94" s="664"/>
      <c r="J94" s="664"/>
      <c r="K94" s="664"/>
      <c r="L94" s="664"/>
      <c r="T94" s="636"/>
    </row>
    <row r="95" spans="2:24" s="604" customFormat="1" outlineLevel="1">
      <c r="B95" s="672"/>
      <c r="C95" s="646" t="s">
        <v>742</v>
      </c>
      <c r="D95" s="646"/>
      <c r="E95" s="646"/>
      <c r="F95" s="646"/>
      <c r="G95" s="646"/>
      <c r="H95" s="646"/>
      <c r="I95" s="646"/>
      <c r="J95" s="646"/>
      <c r="K95" s="646"/>
      <c r="L95" s="646"/>
      <c r="M95" s="633">
        <v>0</v>
      </c>
      <c r="N95" s="633">
        <v>0</v>
      </c>
      <c r="O95" s="633">
        <v>0</v>
      </c>
      <c r="P95" s="633">
        <v>0</v>
      </c>
      <c r="Q95" s="633">
        <v>0</v>
      </c>
      <c r="R95" s="633">
        <v>0</v>
      </c>
      <c r="S95" s="633">
        <v>0</v>
      </c>
      <c r="T95" s="633">
        <v>0</v>
      </c>
      <c r="U95" s="633">
        <v>0</v>
      </c>
      <c r="V95" s="633">
        <v>0</v>
      </c>
    </row>
    <row r="96" spans="2:24" s="604" customFormat="1" outlineLevel="1">
      <c r="B96" s="672"/>
      <c r="C96" s="646" t="s">
        <v>743</v>
      </c>
      <c r="D96" s="646"/>
      <c r="E96" s="646"/>
      <c r="F96" s="646"/>
      <c r="G96" s="646"/>
      <c r="H96" s="646"/>
      <c r="I96" s="646"/>
      <c r="J96" s="646"/>
      <c r="K96" s="646"/>
      <c r="L96" s="646"/>
      <c r="M96" s="55">
        <v>1</v>
      </c>
      <c r="N96" s="56">
        <v>1</v>
      </c>
      <c r="O96" s="56">
        <v>1</v>
      </c>
      <c r="P96" s="56">
        <v>1</v>
      </c>
      <c r="Q96" s="56">
        <v>1</v>
      </c>
      <c r="R96" s="56">
        <v>1</v>
      </c>
      <c r="S96" s="57">
        <v>1</v>
      </c>
      <c r="T96" s="320">
        <v>1</v>
      </c>
      <c r="U96" s="318">
        <v>1</v>
      </c>
      <c r="V96" s="56">
        <v>1</v>
      </c>
    </row>
    <row r="97" spans="3:22" s="604" customFormat="1" outlineLevel="1">
      <c r="C97" s="659"/>
      <c r="D97" s="659"/>
      <c r="E97" s="659"/>
      <c r="F97" s="659"/>
      <c r="G97" s="659"/>
      <c r="H97" s="659"/>
      <c r="I97" s="659"/>
      <c r="J97" s="659"/>
      <c r="K97" s="659"/>
      <c r="L97" s="659"/>
      <c r="T97" s="636"/>
    </row>
    <row r="98" spans="3:22" s="604" customFormat="1" outlineLevel="1">
      <c r="C98" s="668" t="s">
        <v>744</v>
      </c>
      <c r="D98" s="669"/>
      <c r="E98" s="669"/>
      <c r="F98" s="669"/>
      <c r="G98" s="664"/>
      <c r="H98" s="664"/>
      <c r="I98" s="664"/>
      <c r="J98" s="664"/>
      <c r="K98" s="664"/>
      <c r="L98" s="664"/>
      <c r="T98" s="636"/>
    </row>
    <row r="99" spans="3:22" s="604" customFormat="1" outlineLevel="1">
      <c r="C99" s="670" t="s">
        <v>740</v>
      </c>
      <c r="D99" s="670"/>
      <c r="E99" s="670"/>
      <c r="F99" s="670"/>
      <c r="G99" s="646"/>
      <c r="H99" s="646"/>
      <c r="I99" s="646"/>
      <c r="J99" s="646"/>
      <c r="K99" s="646"/>
      <c r="L99" s="646"/>
      <c r="M99" s="731">
        <v>316.3534681299999</v>
      </c>
      <c r="N99" s="732">
        <v>204.97499434999986</v>
      </c>
      <c r="O99" s="732">
        <v>202.85811992473543</v>
      </c>
      <c r="P99" s="732">
        <v>181.68456240652563</v>
      </c>
      <c r="Q99" s="732">
        <v>188.81385155382426</v>
      </c>
      <c r="R99" s="732">
        <v>196.48147546166152</v>
      </c>
      <c r="S99" s="733">
        <v>191.34240281908964</v>
      </c>
      <c r="T99" s="734">
        <v>181.82724429703222</v>
      </c>
      <c r="U99" s="735">
        <v>155.69516673363773</v>
      </c>
      <c r="V99" s="732">
        <v>124.45275455507957</v>
      </c>
    </row>
    <row r="100" spans="3:22" s="604" customFormat="1" ht="12.75" customHeight="1" outlineLevel="1">
      <c r="C100" s="670" t="s">
        <v>745</v>
      </c>
      <c r="D100" s="671"/>
      <c r="E100" s="671"/>
      <c r="F100" s="671"/>
      <c r="G100" s="646"/>
      <c r="H100" s="646"/>
      <c r="I100" s="646"/>
      <c r="J100" s="646"/>
      <c r="K100" s="646"/>
      <c r="L100" s="646"/>
      <c r="M100" s="633">
        <v>0</v>
      </c>
      <c r="N100" s="633">
        <v>0</v>
      </c>
      <c r="O100" s="633">
        <v>0</v>
      </c>
      <c r="P100" s="633">
        <v>0</v>
      </c>
      <c r="Q100" s="633">
        <v>0</v>
      </c>
      <c r="R100" s="633">
        <v>0</v>
      </c>
      <c r="S100" s="633">
        <v>0</v>
      </c>
      <c r="T100" s="633">
        <v>0</v>
      </c>
      <c r="U100" s="633">
        <v>0</v>
      </c>
      <c r="V100" s="633">
        <v>0</v>
      </c>
    </row>
    <row r="101" spans="3:22" s="604" customFormat="1" ht="12.75" customHeight="1" outlineLevel="1">
      <c r="C101" s="670" t="s">
        <v>746</v>
      </c>
      <c r="D101" s="671"/>
      <c r="E101" s="671"/>
      <c r="F101" s="671"/>
      <c r="G101" s="646"/>
      <c r="H101" s="646"/>
      <c r="I101" s="646"/>
      <c r="J101" s="646"/>
      <c r="K101" s="646"/>
      <c r="L101" s="646"/>
      <c r="M101" s="633">
        <v>13.819698439999998</v>
      </c>
      <c r="N101" s="633">
        <v>14.963229609999999</v>
      </c>
      <c r="O101" s="633">
        <v>15.535199629999999</v>
      </c>
      <c r="P101" s="633">
        <v>3.7789985591600463</v>
      </c>
      <c r="Q101" s="633">
        <v>3.2317871291445792</v>
      </c>
      <c r="R101" s="633">
        <v>4.0239993791731523</v>
      </c>
      <c r="S101" s="633">
        <v>5.3863195624922664</v>
      </c>
      <c r="T101" s="633">
        <v>6.5059967502672222</v>
      </c>
      <c r="U101" s="633">
        <v>7.838763557430573</v>
      </c>
      <c r="V101" s="633">
        <v>9.1375961505129712</v>
      </c>
    </row>
    <row r="102" spans="3:22" s="604" customFormat="1" ht="12.75" customHeight="1" outlineLevel="1">
      <c r="C102" s="670" t="s">
        <v>747</v>
      </c>
      <c r="D102" s="671"/>
      <c r="E102" s="671"/>
      <c r="F102" s="671"/>
      <c r="G102" s="646"/>
      <c r="H102" s="646"/>
      <c r="I102" s="646"/>
      <c r="J102" s="646"/>
      <c r="K102" s="646"/>
      <c r="L102" s="646"/>
      <c r="M102" s="633">
        <v>0</v>
      </c>
      <c r="N102" s="633">
        <v>0</v>
      </c>
      <c r="O102" s="633">
        <v>0</v>
      </c>
      <c r="P102" s="633">
        <v>0</v>
      </c>
      <c r="Q102" s="633">
        <v>0</v>
      </c>
      <c r="R102" s="633">
        <v>0</v>
      </c>
      <c r="S102" s="633">
        <v>0</v>
      </c>
      <c r="T102" s="633">
        <v>0</v>
      </c>
      <c r="U102" s="633">
        <v>0</v>
      </c>
      <c r="V102" s="633">
        <v>0</v>
      </c>
    </row>
    <row r="103" spans="3:22" s="604" customFormat="1" ht="12.75" customHeight="1" outlineLevel="1">
      <c r="C103" s="670" t="s">
        <v>748</v>
      </c>
      <c r="D103" s="671"/>
      <c r="E103" s="671"/>
      <c r="F103" s="671"/>
      <c r="G103" s="646"/>
      <c r="H103" s="646"/>
      <c r="I103" s="646"/>
      <c r="J103" s="646"/>
      <c r="K103" s="646"/>
      <c r="L103" s="646"/>
      <c r="M103" s="633">
        <v>0</v>
      </c>
      <c r="N103" s="633">
        <v>0</v>
      </c>
      <c r="O103" s="633">
        <v>0</v>
      </c>
      <c r="P103" s="633">
        <v>0</v>
      </c>
      <c r="Q103" s="633">
        <v>0</v>
      </c>
      <c r="R103" s="633">
        <v>0</v>
      </c>
      <c r="S103" s="633">
        <v>0</v>
      </c>
      <c r="T103" s="633">
        <v>0</v>
      </c>
      <c r="U103" s="633">
        <v>0</v>
      </c>
      <c r="V103" s="633">
        <v>0</v>
      </c>
    </row>
    <row r="104" spans="3:22" s="604" customFormat="1" ht="12.75" customHeight="1" outlineLevel="1">
      <c r="C104" s="670" t="s">
        <v>749</v>
      </c>
      <c r="D104" s="671"/>
      <c r="E104" s="671"/>
      <c r="F104" s="671"/>
      <c r="G104" s="646"/>
      <c r="H104" s="646"/>
      <c r="I104" s="646"/>
      <c r="J104" s="646"/>
      <c r="K104" s="646"/>
      <c r="L104" s="646"/>
      <c r="M104" s="633">
        <v>0</v>
      </c>
      <c r="N104" s="633">
        <v>0</v>
      </c>
      <c r="O104" s="633">
        <v>0</v>
      </c>
      <c r="P104" s="633">
        <v>0</v>
      </c>
      <c r="Q104" s="633">
        <v>0</v>
      </c>
      <c r="R104" s="633">
        <v>0</v>
      </c>
      <c r="S104" s="633">
        <v>0</v>
      </c>
      <c r="T104" s="633">
        <v>0</v>
      </c>
      <c r="U104" s="633">
        <v>0</v>
      </c>
      <c r="V104" s="633">
        <v>0</v>
      </c>
    </row>
    <row r="105" spans="3:22" s="604" customFormat="1" ht="12.75" customHeight="1" outlineLevel="1">
      <c r="C105" s="670" t="s">
        <v>750</v>
      </c>
      <c r="D105" s="671"/>
      <c r="E105" s="671"/>
      <c r="F105" s="671"/>
      <c r="G105" s="646"/>
      <c r="H105" s="646"/>
      <c r="I105" s="646"/>
      <c r="J105" s="646"/>
      <c r="K105" s="646"/>
      <c r="L105" s="646"/>
      <c r="M105" s="633">
        <v>9</v>
      </c>
      <c r="N105" s="633">
        <v>29</v>
      </c>
      <c r="O105" s="633">
        <v>33</v>
      </c>
      <c r="P105" s="633">
        <v>35</v>
      </c>
      <c r="Q105" s="633">
        <v>35</v>
      </c>
      <c r="R105" s="633">
        <v>35</v>
      </c>
      <c r="S105" s="633">
        <v>35</v>
      </c>
      <c r="T105" s="633">
        <v>35</v>
      </c>
      <c r="U105" s="633">
        <v>35</v>
      </c>
      <c r="V105" s="633">
        <v>35</v>
      </c>
    </row>
    <row r="106" spans="3:22" s="604" customFormat="1" ht="12.75" customHeight="1" outlineLevel="1">
      <c r="C106" s="670" t="s">
        <v>751</v>
      </c>
      <c r="D106" s="671"/>
      <c r="E106" s="671"/>
      <c r="F106" s="671"/>
      <c r="G106" s="646"/>
      <c r="H106" s="646"/>
      <c r="I106" s="646"/>
      <c r="J106" s="646"/>
      <c r="K106" s="646"/>
      <c r="L106" s="646"/>
      <c r="M106" s="633">
        <v>-4.5332836099999936</v>
      </c>
      <c r="N106" s="633">
        <v>-7.2766104899999995</v>
      </c>
      <c r="O106" s="633">
        <v>3.9201389299999989</v>
      </c>
      <c r="P106" s="633">
        <v>-5.5044040992774139</v>
      </c>
      <c r="Q106" s="633">
        <v>-5.1790534673784503</v>
      </c>
      <c r="R106" s="633">
        <v>-5.1883390077982217</v>
      </c>
      <c r="S106" s="633">
        <v>-5.5204261543034203</v>
      </c>
      <c r="T106" s="633">
        <v>-5.2119876466639026</v>
      </c>
      <c r="U106" s="633">
        <v>-5.9718338146528334</v>
      </c>
      <c r="V106" s="633">
        <v>-5.7424762039101314</v>
      </c>
    </row>
    <row r="107" spans="3:22" s="604" customFormat="1" ht="12.75" customHeight="1" outlineLevel="1">
      <c r="C107" s="670" t="s">
        <v>752</v>
      </c>
      <c r="D107" s="671"/>
      <c r="E107" s="671"/>
      <c r="F107" s="671"/>
      <c r="G107" s="646"/>
      <c r="H107" s="646"/>
      <c r="I107" s="646"/>
      <c r="J107" s="646"/>
      <c r="K107" s="646"/>
      <c r="L107" s="646"/>
      <c r="M107" s="633">
        <v>-0.2824158799999999</v>
      </c>
      <c r="N107" s="633">
        <v>-3.0097344699999997</v>
      </c>
      <c r="O107" s="633">
        <v>-1.9666726999999986</v>
      </c>
      <c r="P107" s="633">
        <v>-0.57600000000000007</v>
      </c>
      <c r="Q107" s="633">
        <v>-0.57600000000000007</v>
      </c>
      <c r="R107" s="633">
        <v>-0.57600000000000007</v>
      </c>
      <c r="S107" s="633">
        <v>-0.57600000000000007</v>
      </c>
      <c r="T107" s="633">
        <v>-0.57600000000000007</v>
      </c>
      <c r="U107" s="633">
        <v>-0.57600000000000007</v>
      </c>
      <c r="V107" s="633">
        <v>-0.57600000000000007</v>
      </c>
    </row>
    <row r="108" spans="3:22" s="604" customFormat="1" outlineLevel="1">
      <c r="C108" s="298" t="s">
        <v>1235</v>
      </c>
      <c r="D108" s="674"/>
      <c r="E108" s="297"/>
      <c r="F108" s="297"/>
      <c r="G108" s="646"/>
      <c r="H108" s="646"/>
      <c r="I108" s="646"/>
      <c r="J108" s="646"/>
      <c r="K108" s="646"/>
      <c r="L108" s="646"/>
      <c r="M108" s="633">
        <v>-0.28329284999999998</v>
      </c>
      <c r="N108" s="633">
        <v>-0.30700746999999995</v>
      </c>
      <c r="O108" s="633">
        <v>-0.28404590000000002</v>
      </c>
      <c r="P108" s="633">
        <v>-0.27436445682940558</v>
      </c>
      <c r="Q108" s="633">
        <v>0</v>
      </c>
      <c r="R108" s="633">
        <v>-0.1</v>
      </c>
      <c r="S108" s="633">
        <v>-0.1</v>
      </c>
      <c r="T108" s="633">
        <v>-0.1</v>
      </c>
      <c r="U108" s="633">
        <v>-0.1</v>
      </c>
      <c r="V108" s="633">
        <v>-0.1</v>
      </c>
    </row>
    <row r="109" spans="3:22" s="604" customFormat="1" outlineLevel="1">
      <c r="C109" s="298" t="s">
        <v>1236</v>
      </c>
      <c r="D109" s="674"/>
      <c r="E109" s="297"/>
      <c r="F109" s="297"/>
      <c r="G109" s="646"/>
      <c r="H109" s="646"/>
      <c r="I109" s="646"/>
      <c r="J109" s="646"/>
      <c r="K109" s="646"/>
      <c r="L109" s="646"/>
      <c r="M109" s="633">
        <v>-2.0715935500000002</v>
      </c>
      <c r="N109" s="633">
        <v>-0.47992902999999987</v>
      </c>
      <c r="O109" s="633">
        <v>0</v>
      </c>
      <c r="P109" s="633">
        <v>-1.3724999999999998</v>
      </c>
      <c r="Q109" s="633">
        <v>-1.3724999999999998</v>
      </c>
      <c r="R109" s="633">
        <v>-1.3724999999999998</v>
      </c>
      <c r="S109" s="633">
        <v>-1.3724999999999998</v>
      </c>
      <c r="T109" s="633">
        <v>-1.2374999999999998</v>
      </c>
      <c r="U109" s="633">
        <v>-1.9375</v>
      </c>
      <c r="V109" s="633">
        <v>-1.9375</v>
      </c>
    </row>
    <row r="110" spans="3:22" s="604" customFormat="1" outlineLevel="1">
      <c r="C110" s="298" t="s">
        <v>1237</v>
      </c>
      <c r="D110" s="674"/>
      <c r="E110" s="297"/>
      <c r="F110" s="297"/>
      <c r="G110" s="646"/>
      <c r="H110" s="646"/>
      <c r="I110" s="646"/>
      <c r="J110" s="646"/>
      <c r="K110" s="646"/>
      <c r="L110" s="646"/>
      <c r="M110" s="633">
        <v>-77.819520879999999</v>
      </c>
      <c r="N110" s="633">
        <v>158</v>
      </c>
      <c r="O110" s="633">
        <v>27.193917420000091</v>
      </c>
      <c r="P110" s="633">
        <v>0</v>
      </c>
      <c r="Q110" s="633">
        <v>0</v>
      </c>
      <c r="R110" s="633">
        <v>0</v>
      </c>
      <c r="S110" s="633">
        <v>0</v>
      </c>
      <c r="T110" s="633">
        <v>0</v>
      </c>
      <c r="U110" s="633">
        <v>0</v>
      </c>
      <c r="V110" s="633">
        <v>0</v>
      </c>
    </row>
    <row r="111" spans="3:22" s="604" customFormat="1" outlineLevel="1">
      <c r="C111" s="298" t="s">
        <v>1238</v>
      </c>
      <c r="D111" s="674"/>
      <c r="E111" s="297"/>
      <c r="F111" s="297"/>
      <c r="G111" s="646"/>
      <c r="H111" s="646"/>
      <c r="I111" s="646"/>
      <c r="J111" s="646"/>
      <c r="K111" s="646"/>
      <c r="L111" s="646"/>
      <c r="M111" s="633">
        <v>76.301751127434784</v>
      </c>
      <c r="N111" s="633">
        <v>68.25365874256029</v>
      </c>
      <c r="O111" s="633">
        <v>54.487363216055257</v>
      </c>
      <c r="P111" s="633">
        <v>44.605492299657257</v>
      </c>
      <c r="Q111" s="633">
        <v>43.356358075206941</v>
      </c>
      <c r="R111" s="633">
        <v>42.736384520280865</v>
      </c>
      <c r="S111" s="633">
        <v>42.031578010336631</v>
      </c>
      <c r="T111" s="633">
        <v>24.50199410117942</v>
      </c>
      <c r="U111" s="633">
        <v>36.687436467343687</v>
      </c>
      <c r="V111" s="633">
        <v>39.639822194625154</v>
      </c>
    </row>
    <row r="112" spans="3:22" s="604" customFormat="1" outlineLevel="1">
      <c r="C112" s="298" t="s">
        <v>767</v>
      </c>
      <c r="D112" s="674"/>
      <c r="E112" s="297"/>
      <c r="F112" s="297"/>
      <c r="G112" s="646"/>
      <c r="H112" s="646"/>
      <c r="I112" s="646"/>
      <c r="J112" s="646"/>
      <c r="K112" s="646"/>
      <c r="L112" s="646"/>
      <c r="M112" s="633">
        <v>-270.69064184098943</v>
      </c>
      <c r="N112" s="633">
        <v>-380.54838322468561</v>
      </c>
      <c r="O112" s="633">
        <v>-274.78988012132038</v>
      </c>
      <c r="P112" s="633">
        <v>-211.44675707581874</v>
      </c>
      <c r="Q112" s="633">
        <v>-216.47616314153342</v>
      </c>
      <c r="R112" s="633">
        <v>-222.83259349020895</v>
      </c>
      <c r="S112" s="633">
        <v>-218.87459578703891</v>
      </c>
      <c r="T112" s="633">
        <v>-197.92244897999802</v>
      </c>
      <c r="U112" s="633">
        <v>-186.35040389048686</v>
      </c>
      <c r="V112" s="633">
        <v>-164.34561088036011</v>
      </c>
    </row>
    <row r="113" spans="3:23" s="604" customFormat="1" outlineLevel="1">
      <c r="C113" s="298" t="s">
        <v>753</v>
      </c>
      <c r="D113" s="674"/>
      <c r="E113" s="297"/>
      <c r="F113" s="297"/>
      <c r="G113" s="646"/>
      <c r="H113" s="646"/>
      <c r="I113" s="646"/>
      <c r="J113" s="646"/>
      <c r="K113" s="646"/>
      <c r="L113" s="646"/>
      <c r="M113" s="633">
        <v>0</v>
      </c>
      <c r="N113" s="633">
        <v>0</v>
      </c>
      <c r="O113" s="633">
        <v>0</v>
      </c>
      <c r="P113" s="633">
        <v>0</v>
      </c>
      <c r="Q113" s="633">
        <v>0</v>
      </c>
      <c r="R113" s="633">
        <v>0</v>
      </c>
      <c r="S113" s="633">
        <v>0</v>
      </c>
      <c r="T113" s="633">
        <v>0</v>
      </c>
      <c r="U113" s="633">
        <v>0</v>
      </c>
      <c r="V113" s="633">
        <v>0</v>
      </c>
    </row>
    <row r="114" spans="3:23" s="604" customFormat="1" outlineLevel="1">
      <c r="C114" s="298" t="s">
        <v>753</v>
      </c>
      <c r="D114" s="674"/>
      <c r="E114" s="297"/>
      <c r="F114" s="297"/>
      <c r="G114" s="646"/>
      <c r="H114" s="646"/>
      <c r="I114" s="646"/>
      <c r="J114" s="646"/>
      <c r="K114" s="646"/>
      <c r="L114" s="646"/>
      <c r="M114" s="633">
        <v>0</v>
      </c>
      <c r="N114" s="633">
        <v>0</v>
      </c>
      <c r="O114" s="633">
        <v>0</v>
      </c>
      <c r="P114" s="633">
        <v>0</v>
      </c>
      <c r="Q114" s="633">
        <v>0</v>
      </c>
      <c r="R114" s="633">
        <v>0</v>
      </c>
      <c r="S114" s="633">
        <v>0</v>
      </c>
      <c r="T114" s="633">
        <v>0</v>
      </c>
      <c r="U114" s="633">
        <v>0</v>
      </c>
      <c r="V114" s="633">
        <v>0</v>
      </c>
    </row>
    <row r="115" spans="3:23" s="604" customFormat="1" outlineLevel="1">
      <c r="C115" s="298" t="s">
        <v>753</v>
      </c>
      <c r="D115" s="674"/>
      <c r="E115" s="297"/>
      <c r="F115" s="297"/>
      <c r="G115" s="646"/>
      <c r="H115" s="646"/>
      <c r="I115" s="646"/>
      <c r="J115" s="646"/>
      <c r="K115" s="646"/>
      <c r="L115" s="646"/>
      <c r="M115" s="633">
        <v>0</v>
      </c>
      <c r="N115" s="633">
        <v>0</v>
      </c>
      <c r="O115" s="633">
        <v>0</v>
      </c>
      <c r="P115" s="633">
        <v>0</v>
      </c>
      <c r="Q115" s="633">
        <v>0</v>
      </c>
      <c r="R115" s="633">
        <v>0</v>
      </c>
      <c r="S115" s="633">
        <v>0</v>
      </c>
      <c r="T115" s="633">
        <v>0</v>
      </c>
      <c r="U115" s="633">
        <v>0</v>
      </c>
      <c r="V115" s="633">
        <v>0</v>
      </c>
    </row>
    <row r="116" spans="3:23" s="604" customFormat="1" outlineLevel="1">
      <c r="C116" s="298" t="s">
        <v>753</v>
      </c>
      <c r="D116" s="674"/>
      <c r="E116" s="297"/>
      <c r="F116" s="297"/>
      <c r="G116" s="646"/>
      <c r="H116" s="646"/>
      <c r="I116" s="646"/>
      <c r="J116" s="646"/>
      <c r="K116" s="646"/>
      <c r="L116" s="646"/>
      <c r="M116" s="633">
        <v>0</v>
      </c>
      <c r="N116" s="633">
        <v>0</v>
      </c>
      <c r="O116" s="633">
        <v>0</v>
      </c>
      <c r="P116" s="633">
        <v>0</v>
      </c>
      <c r="Q116" s="633">
        <v>0</v>
      </c>
      <c r="R116" s="633">
        <v>0</v>
      </c>
      <c r="S116" s="633">
        <v>0</v>
      </c>
      <c r="T116" s="633">
        <v>0</v>
      </c>
      <c r="U116" s="633">
        <v>0</v>
      </c>
      <c r="V116" s="633">
        <v>0</v>
      </c>
    </row>
    <row r="117" spans="3:23" s="604" customFormat="1" ht="12.75" customHeight="1" outlineLevel="1">
      <c r="C117" s="675" t="s">
        <v>579</v>
      </c>
      <c r="D117" s="676"/>
      <c r="E117" s="676"/>
      <c r="F117" s="676"/>
      <c r="G117" s="646"/>
      <c r="H117" s="646"/>
      <c r="I117" s="646"/>
      <c r="J117" s="646"/>
      <c r="K117" s="646"/>
      <c r="L117" s="646"/>
      <c r="M117" s="698">
        <v>59.794169086445322</v>
      </c>
      <c r="N117" s="699">
        <v>83.570218017874538</v>
      </c>
      <c r="O117" s="699">
        <v>59.954140399470418</v>
      </c>
      <c r="P117" s="699">
        <v>45.895027633417357</v>
      </c>
      <c r="Q117" s="699">
        <v>46.798280149263888</v>
      </c>
      <c r="R117" s="699">
        <v>48.17242686310837</v>
      </c>
      <c r="S117" s="700">
        <v>47.316778450576237</v>
      </c>
      <c r="T117" s="701">
        <v>42.787298521816922</v>
      </c>
      <c r="U117" s="702">
        <v>40.285629053272316</v>
      </c>
      <c r="V117" s="699">
        <v>35.528585815947423</v>
      </c>
    </row>
    <row r="118" spans="3:23" s="604" customFormat="1" outlineLevel="1">
      <c r="C118" s="677"/>
      <c r="D118" s="678"/>
      <c r="E118" s="678"/>
      <c r="F118" s="678"/>
      <c r="G118" s="659"/>
      <c r="H118" s="659"/>
      <c r="I118" s="659"/>
      <c r="J118" s="659"/>
      <c r="K118" s="659"/>
      <c r="L118" s="659"/>
      <c r="T118" s="636"/>
    </row>
    <row r="119" spans="3:23" s="604" customFormat="1" outlineLevel="1">
      <c r="C119" s="670" t="s">
        <v>754</v>
      </c>
      <c r="D119" s="670"/>
      <c r="E119" s="670"/>
      <c r="F119" s="670"/>
      <c r="M119" s="736">
        <v>4.5332836099999936</v>
      </c>
      <c r="N119" s="736">
        <v>7.2766104899999995</v>
      </c>
      <c r="O119" s="736">
        <v>-3.9201389299999989</v>
      </c>
      <c r="P119" s="736">
        <v>5.5044040992774139</v>
      </c>
      <c r="Q119" s="736">
        <v>5.1790534673784503</v>
      </c>
      <c r="R119" s="736">
        <v>5.1883390077982217</v>
      </c>
      <c r="S119" s="737">
        <v>5.5204261543034203</v>
      </c>
      <c r="T119" s="738">
        <v>5.2119876466639026</v>
      </c>
      <c r="U119" s="739">
        <v>5.9718338146528334</v>
      </c>
      <c r="V119" s="736">
        <v>5.7424762039101314</v>
      </c>
    </row>
    <row r="120" spans="3:23" s="604" customFormat="1" ht="12.75" customHeight="1" outlineLevel="1">
      <c r="C120" s="670" t="s">
        <v>755</v>
      </c>
      <c r="D120" s="671"/>
      <c r="E120" s="671"/>
      <c r="F120" s="671"/>
      <c r="G120" s="646"/>
      <c r="H120" s="646"/>
      <c r="I120" s="646"/>
      <c r="J120" s="646"/>
      <c r="K120" s="646"/>
      <c r="L120" s="646"/>
      <c r="M120" s="633">
        <v>0</v>
      </c>
      <c r="N120" s="633">
        <v>0</v>
      </c>
      <c r="O120" s="633">
        <v>0</v>
      </c>
      <c r="P120" s="633">
        <v>0</v>
      </c>
      <c r="Q120" s="633">
        <v>0</v>
      </c>
      <c r="R120" s="633">
        <v>0</v>
      </c>
      <c r="S120" s="633">
        <v>0</v>
      </c>
      <c r="T120" s="633">
        <v>0</v>
      </c>
      <c r="U120" s="633">
        <v>0</v>
      </c>
      <c r="V120" s="633">
        <v>0</v>
      </c>
    </row>
    <row r="121" spans="3:23" s="604" customFormat="1" outlineLevel="1">
      <c r="C121" s="670" t="s">
        <v>756</v>
      </c>
      <c r="D121" s="670"/>
      <c r="E121" s="670"/>
      <c r="F121" s="670"/>
      <c r="G121" s="646"/>
      <c r="H121" s="646"/>
      <c r="I121" s="646"/>
      <c r="J121" s="646"/>
      <c r="K121" s="646"/>
      <c r="L121" s="646"/>
      <c r="M121" s="633">
        <v>0</v>
      </c>
      <c r="N121" s="633">
        <v>0</v>
      </c>
      <c r="O121" s="633">
        <v>0</v>
      </c>
      <c r="P121" s="633">
        <v>0</v>
      </c>
      <c r="Q121" s="633">
        <v>0</v>
      </c>
      <c r="R121" s="633">
        <v>0</v>
      </c>
      <c r="S121" s="633">
        <v>0</v>
      </c>
      <c r="T121" s="633">
        <v>0</v>
      </c>
      <c r="U121" s="633">
        <v>0</v>
      </c>
      <c r="V121" s="633">
        <v>0</v>
      </c>
    </row>
    <row r="122" spans="3:23" s="604" customFormat="1" outlineLevel="1">
      <c r="C122" s="645" t="s">
        <v>1239</v>
      </c>
      <c r="D122" s="646"/>
      <c r="E122" s="679"/>
      <c r="F122" s="679"/>
      <c r="M122" s="633">
        <v>-3.7130827483250859</v>
      </c>
      <c r="N122" s="633">
        <v>-5.9663679712722484</v>
      </c>
      <c r="O122" s="633">
        <v>3.2180246415087663</v>
      </c>
      <c r="P122" s="633">
        <v>-4.5227338333030529</v>
      </c>
      <c r="Q122" s="633">
        <v>-4.2584521661473813</v>
      </c>
      <c r="R122" s="633">
        <v>-4.2660871577464237</v>
      </c>
      <c r="S122" s="633">
        <v>-4.5391442399511766</v>
      </c>
      <c r="T122" s="633">
        <v>-4.2855321389651584</v>
      </c>
      <c r="U122" s="633">
        <v>-4.9103120491152543</v>
      </c>
      <c r="V122" s="633">
        <v>-4.7217238407791777</v>
      </c>
    </row>
    <row r="123" spans="3:23" s="604" customFormat="1" outlineLevel="1">
      <c r="C123" s="645" t="s">
        <v>753</v>
      </c>
      <c r="D123" s="646"/>
      <c r="E123" s="679"/>
      <c r="F123" s="679"/>
      <c r="M123" s="633">
        <v>0</v>
      </c>
      <c r="N123" s="633">
        <v>0</v>
      </c>
      <c r="O123" s="633">
        <v>0</v>
      </c>
      <c r="P123" s="633">
        <v>0</v>
      </c>
      <c r="Q123" s="633">
        <v>0</v>
      </c>
      <c r="R123" s="633">
        <v>0</v>
      </c>
      <c r="S123" s="633">
        <v>0</v>
      </c>
      <c r="T123" s="633">
        <v>0</v>
      </c>
      <c r="U123" s="633">
        <v>0</v>
      </c>
      <c r="V123" s="633">
        <v>0</v>
      </c>
    </row>
    <row r="124" spans="3:23" s="604" customFormat="1" outlineLevel="1">
      <c r="C124" s="645" t="s">
        <v>753</v>
      </c>
      <c r="D124" s="646"/>
      <c r="E124" s="679"/>
      <c r="F124" s="679"/>
      <c r="M124" s="633">
        <v>0</v>
      </c>
      <c r="N124" s="633">
        <v>0</v>
      </c>
      <c r="O124" s="633">
        <v>0</v>
      </c>
      <c r="P124" s="633">
        <v>0</v>
      </c>
      <c r="Q124" s="633">
        <v>0</v>
      </c>
      <c r="R124" s="633">
        <v>0</v>
      </c>
      <c r="S124" s="633">
        <v>0</v>
      </c>
      <c r="T124" s="633">
        <v>0</v>
      </c>
      <c r="U124" s="633">
        <v>0</v>
      </c>
      <c r="V124" s="633">
        <v>0</v>
      </c>
    </row>
    <row r="125" spans="3:23" s="604" customFormat="1" outlineLevel="1">
      <c r="C125" s="645" t="s">
        <v>753</v>
      </c>
      <c r="D125" s="646"/>
      <c r="E125" s="296"/>
      <c r="F125" s="296"/>
      <c r="M125" s="633">
        <v>0</v>
      </c>
      <c r="N125" s="633">
        <v>0</v>
      </c>
      <c r="O125" s="633">
        <v>0</v>
      </c>
      <c r="P125" s="633">
        <v>0</v>
      </c>
      <c r="Q125" s="633">
        <v>0</v>
      </c>
      <c r="R125" s="633">
        <v>0</v>
      </c>
      <c r="S125" s="633">
        <v>0</v>
      </c>
      <c r="T125" s="633">
        <v>0</v>
      </c>
      <c r="U125" s="633">
        <v>0</v>
      </c>
      <c r="V125" s="633">
        <v>0</v>
      </c>
    </row>
    <row r="126" spans="3:23" s="681" customFormat="1" outlineLevel="1">
      <c r="C126" s="680" t="s">
        <v>682</v>
      </c>
      <c r="D126" s="99"/>
      <c r="E126" s="99"/>
      <c r="F126" s="99"/>
      <c r="M126" s="698">
        <v>0.82020086167490769</v>
      </c>
      <c r="N126" s="698">
        <v>1.3102425187277511</v>
      </c>
      <c r="O126" s="698">
        <v>-0.70211428849123259</v>
      </c>
      <c r="P126" s="698">
        <v>0.98167026597436102</v>
      </c>
      <c r="Q126" s="698">
        <v>0.92060130123106898</v>
      </c>
      <c r="R126" s="698">
        <v>0.92225185005179799</v>
      </c>
      <c r="S126" s="740">
        <v>0.98128191435224377</v>
      </c>
      <c r="T126" s="741">
        <v>0.92645550769874419</v>
      </c>
      <c r="U126" s="702">
        <v>1.061521765537579</v>
      </c>
      <c r="V126" s="698">
        <v>1.0207523631309536</v>
      </c>
      <c r="W126" s="604"/>
    </row>
    <row r="127" spans="3:23" s="681" customFormat="1" outlineLevel="1">
      <c r="C127" s="680"/>
      <c r="D127" s="99"/>
      <c r="E127" s="99"/>
      <c r="F127" s="99"/>
      <c r="M127" s="682"/>
      <c r="N127" s="682"/>
      <c r="O127" s="682"/>
      <c r="P127" s="682"/>
      <c r="Q127" s="682"/>
      <c r="R127" s="682"/>
      <c r="S127" s="682"/>
      <c r="T127" s="683"/>
      <c r="U127" s="682"/>
      <c r="V127" s="682"/>
      <c r="W127" s="604"/>
    </row>
    <row r="128" spans="3:23" s="604" customFormat="1" outlineLevel="1">
      <c r="C128" s="673" t="s">
        <v>757</v>
      </c>
      <c r="D128" s="664"/>
      <c r="E128" s="664"/>
      <c r="F128" s="664"/>
      <c r="G128" s="664"/>
      <c r="H128" s="664"/>
      <c r="I128" s="664"/>
      <c r="J128" s="664"/>
      <c r="K128" s="664"/>
      <c r="L128" s="664"/>
      <c r="T128" s="636"/>
    </row>
    <row r="129" spans="2:22" s="604" customFormat="1" outlineLevel="1">
      <c r="C129" s="646" t="s">
        <v>758</v>
      </c>
      <c r="D129" s="646"/>
      <c r="E129" s="646"/>
      <c r="F129" s="646"/>
      <c r="G129" s="646"/>
      <c r="H129" s="646"/>
      <c r="I129" s="646"/>
      <c r="J129" s="646"/>
      <c r="K129" s="646"/>
      <c r="L129" s="646"/>
      <c r="M129" s="633">
        <v>0</v>
      </c>
      <c r="N129" s="633">
        <v>0</v>
      </c>
      <c r="O129" s="633">
        <v>0</v>
      </c>
      <c r="P129" s="633">
        <v>0</v>
      </c>
      <c r="Q129" s="633">
        <v>0</v>
      </c>
      <c r="R129" s="633">
        <v>0</v>
      </c>
      <c r="S129" s="633">
        <v>0</v>
      </c>
      <c r="T129" s="633">
        <v>0</v>
      </c>
      <c r="U129" s="633">
        <v>0</v>
      </c>
      <c r="V129" s="633">
        <v>0</v>
      </c>
    </row>
    <row r="130" spans="2:22" s="604" customFormat="1" outlineLevel="1">
      <c r="C130" s="646" t="s">
        <v>743</v>
      </c>
      <c r="D130" s="646"/>
      <c r="E130" s="646"/>
      <c r="F130" s="646"/>
      <c r="G130" s="646"/>
      <c r="H130" s="646"/>
      <c r="I130" s="646"/>
      <c r="J130" s="646"/>
      <c r="K130" s="646"/>
      <c r="L130" s="646"/>
      <c r="M130" s="55">
        <v>1</v>
      </c>
      <c r="N130" s="56">
        <v>1</v>
      </c>
      <c r="O130" s="56">
        <v>1</v>
      </c>
      <c r="P130" s="56">
        <v>1</v>
      </c>
      <c r="Q130" s="56">
        <v>1</v>
      </c>
      <c r="R130" s="56">
        <v>1</v>
      </c>
      <c r="S130" s="57">
        <v>1</v>
      </c>
      <c r="T130" s="320">
        <v>1</v>
      </c>
      <c r="U130" s="318">
        <v>1</v>
      </c>
      <c r="V130" s="56">
        <v>1</v>
      </c>
    </row>
    <row r="131" spans="2:22" s="604" customFormat="1" outlineLevel="1">
      <c r="C131" s="677"/>
      <c r="D131" s="678"/>
      <c r="E131" s="678"/>
      <c r="F131" s="678"/>
      <c r="G131" s="659"/>
      <c r="H131" s="659"/>
      <c r="I131" s="659"/>
      <c r="J131" s="659"/>
      <c r="K131" s="659"/>
      <c r="L131" s="659"/>
      <c r="T131" s="636"/>
    </row>
    <row r="132" spans="2:22" s="604" customFormat="1" outlineLevel="1">
      <c r="C132" s="668" t="s">
        <v>759</v>
      </c>
      <c r="D132" s="669"/>
      <c r="E132" s="669"/>
      <c r="F132" s="669"/>
      <c r="G132" s="664"/>
      <c r="H132" s="664"/>
      <c r="I132" s="664"/>
      <c r="J132" s="664"/>
      <c r="K132" s="664"/>
      <c r="L132" s="664"/>
      <c r="T132" s="636"/>
    </row>
    <row r="133" spans="2:22" s="604" customFormat="1" ht="12.75" customHeight="1" outlineLevel="1">
      <c r="C133" s="670" t="s">
        <v>760</v>
      </c>
      <c r="D133" s="671"/>
      <c r="E133" s="671"/>
      <c r="F133" s="671"/>
      <c r="G133" s="646"/>
      <c r="H133" s="646"/>
      <c r="I133" s="646"/>
      <c r="J133" s="646"/>
      <c r="K133" s="646"/>
      <c r="L133" s="646"/>
      <c r="M133" s="742">
        <v>1214.9306653490867</v>
      </c>
      <c r="N133" s="743">
        <v>1266.2077206237409</v>
      </c>
      <c r="O133" s="743">
        <v>1336.3309354957992</v>
      </c>
      <c r="P133" s="743">
        <v>1308.3369974405059</v>
      </c>
      <c r="Q133" s="743">
        <v>1337.1290060891015</v>
      </c>
      <c r="R133" s="743">
        <v>1276.2798756533157</v>
      </c>
      <c r="S133" s="744">
        <v>1284.3973874459653</v>
      </c>
      <c r="T133" s="745">
        <v>1140.8898681020419</v>
      </c>
      <c r="U133" s="746">
        <v>958.41914628337963</v>
      </c>
      <c r="V133" s="743">
        <v>871.33486469625359</v>
      </c>
    </row>
    <row r="134" spans="2:22" s="604" customFormat="1" ht="12.75" customHeight="1" outlineLevel="1">
      <c r="C134" s="670" t="s">
        <v>579</v>
      </c>
      <c r="D134" s="671"/>
      <c r="E134" s="671"/>
      <c r="F134" s="671"/>
      <c r="G134" s="646"/>
      <c r="H134" s="646"/>
      <c r="I134" s="646"/>
      <c r="J134" s="646"/>
      <c r="K134" s="646"/>
      <c r="L134" s="646"/>
      <c r="M134" s="747">
        <v>59.794169086445322</v>
      </c>
      <c r="N134" s="748">
        <v>83.570218017874538</v>
      </c>
      <c r="O134" s="748">
        <v>59.954140399470418</v>
      </c>
      <c r="P134" s="748">
        <v>45.895027633417357</v>
      </c>
      <c r="Q134" s="748">
        <v>46.798280149263888</v>
      </c>
      <c r="R134" s="748">
        <v>48.17242686310837</v>
      </c>
      <c r="S134" s="749">
        <v>47.316778450576237</v>
      </c>
      <c r="T134" s="750">
        <v>42.787298521816922</v>
      </c>
      <c r="U134" s="751">
        <v>40.285629053272316</v>
      </c>
      <c r="V134" s="748">
        <v>35.528585815947423</v>
      </c>
    </row>
    <row r="135" spans="2:22" s="604" customFormat="1">
      <c r="C135" s="659"/>
      <c r="D135" s="659"/>
      <c r="E135" s="659"/>
      <c r="F135" s="659"/>
      <c r="G135" s="659"/>
      <c r="H135" s="659"/>
      <c r="I135" s="659"/>
      <c r="J135" s="659"/>
      <c r="K135" s="659"/>
      <c r="L135" s="659"/>
      <c r="T135" s="636"/>
    </row>
    <row r="136" spans="2:22" s="604" customFormat="1">
      <c r="T136" s="636"/>
    </row>
    <row r="137" spans="2:22" s="604" customFormat="1" ht="15">
      <c r="B137" s="619" t="s">
        <v>761</v>
      </c>
      <c r="C137" s="620"/>
      <c r="D137" s="620"/>
      <c r="E137" s="620"/>
      <c r="F137" s="620"/>
      <c r="G137" s="620"/>
      <c r="H137" s="620"/>
      <c r="I137" s="620"/>
      <c r="J137" s="620"/>
      <c r="K137" s="620"/>
      <c r="L137" s="620"/>
      <c r="M137" s="620"/>
      <c r="N137" s="620"/>
      <c r="O137" s="620"/>
      <c r="P137" s="620"/>
      <c r="Q137" s="620"/>
      <c r="R137" s="620"/>
      <c r="S137" s="620"/>
      <c r="T137" s="622"/>
      <c r="U137" s="620"/>
      <c r="V137" s="620"/>
    </row>
    <row r="138" spans="2:22" s="604" customFormat="1" outlineLevel="1">
      <c r="B138" s="639" t="s">
        <v>762</v>
      </c>
      <c r="T138" s="636"/>
    </row>
    <row r="139" spans="2:22" s="604" customFormat="1" outlineLevel="1">
      <c r="C139" s="663" t="s">
        <v>763</v>
      </c>
      <c r="D139" s="664"/>
      <c r="E139" s="663"/>
      <c r="F139" s="665"/>
      <c r="G139" s="664"/>
      <c r="H139" s="664"/>
      <c r="I139" s="664"/>
      <c r="J139" s="664"/>
      <c r="K139" s="664"/>
      <c r="L139" s="664"/>
      <c r="M139" s="661"/>
      <c r="N139" s="661"/>
      <c r="O139" s="661"/>
      <c r="P139" s="661"/>
      <c r="Q139" s="661"/>
      <c r="R139" s="661"/>
      <c r="S139" s="661"/>
      <c r="T139" s="662"/>
      <c r="U139" s="661"/>
      <c r="V139" s="661"/>
    </row>
    <row r="140" spans="2:22" s="604" customFormat="1" outlineLevel="1">
      <c r="C140" s="645" t="s">
        <v>712</v>
      </c>
      <c r="D140" s="646"/>
      <c r="E140" s="647"/>
      <c r="F140" s="646"/>
      <c r="G140" s="646"/>
      <c r="H140" s="646"/>
      <c r="I140" s="646"/>
      <c r="J140" s="646"/>
      <c r="K140" s="646"/>
      <c r="L140" s="646"/>
      <c r="M140" s="633">
        <v>0</v>
      </c>
      <c r="N140" s="633">
        <v>0</v>
      </c>
      <c r="O140" s="633">
        <v>0</v>
      </c>
      <c r="P140" s="633">
        <v>0</v>
      </c>
      <c r="Q140" s="633">
        <v>0</v>
      </c>
      <c r="R140" s="633">
        <v>0</v>
      </c>
      <c r="S140" s="633">
        <v>0</v>
      </c>
      <c r="T140" s="633">
        <v>0</v>
      </c>
      <c r="U140" s="633">
        <v>0</v>
      </c>
      <c r="V140" s="633">
        <v>0</v>
      </c>
    </row>
    <row r="141" spans="2:22" s="604" customFormat="1" outlineLevel="1">
      <c r="C141" s="645" t="s">
        <v>713</v>
      </c>
      <c r="D141" s="646"/>
      <c r="E141" s="647"/>
      <c r="F141" s="647"/>
      <c r="G141" s="646"/>
      <c r="H141" s="646"/>
      <c r="I141" s="646"/>
      <c r="J141" s="646"/>
      <c r="K141" s="646"/>
      <c r="L141" s="646"/>
      <c r="M141" s="633">
        <v>0</v>
      </c>
      <c r="N141" s="633">
        <v>0</v>
      </c>
      <c r="O141" s="633">
        <v>0</v>
      </c>
      <c r="P141" s="633">
        <v>0</v>
      </c>
      <c r="Q141" s="633">
        <v>0</v>
      </c>
      <c r="R141" s="633">
        <v>0</v>
      </c>
      <c r="S141" s="633">
        <v>0</v>
      </c>
      <c r="T141" s="633">
        <v>0</v>
      </c>
      <c r="U141" s="633">
        <v>0</v>
      </c>
      <c r="V141" s="633">
        <v>0</v>
      </c>
    </row>
    <row r="142" spans="2:22" s="604" customFormat="1" outlineLevel="1">
      <c r="B142" s="627" t="s">
        <v>841</v>
      </c>
      <c r="C142" s="648" t="s">
        <v>842</v>
      </c>
      <c r="D142" s="648"/>
      <c r="E142" s="649"/>
      <c r="F142" s="649"/>
      <c r="G142" s="646"/>
      <c r="H142" s="646"/>
      <c r="I142" s="646"/>
      <c r="J142" s="646"/>
      <c r="K142" s="646"/>
      <c r="L142" s="646"/>
      <c r="M142" s="752">
        <v>0</v>
      </c>
      <c r="N142" s="752">
        <v>0</v>
      </c>
      <c r="O142" s="752">
        <v>0</v>
      </c>
      <c r="P142" s="752">
        <v>0</v>
      </c>
      <c r="Q142" s="752">
        <v>0</v>
      </c>
      <c r="R142" s="752">
        <v>0</v>
      </c>
      <c r="S142" s="753">
        <v>0</v>
      </c>
      <c r="T142" s="754">
        <v>0</v>
      </c>
      <c r="U142" s="755">
        <v>0</v>
      </c>
      <c r="V142" s="752">
        <v>0</v>
      </c>
    </row>
    <row r="143" spans="2:22" s="604" customFormat="1" outlineLevel="1">
      <c r="B143" s="627" t="s">
        <v>845</v>
      </c>
      <c r="C143" s="651" t="s">
        <v>846</v>
      </c>
      <c r="D143" s="648"/>
      <c r="E143" s="649"/>
      <c r="F143" s="649"/>
      <c r="G143" s="646"/>
      <c r="H143" s="646"/>
      <c r="I143" s="646"/>
      <c r="J143" s="646"/>
      <c r="K143" s="646"/>
      <c r="L143" s="646"/>
      <c r="M143" s="752">
        <v>9.8337062500000023</v>
      </c>
      <c r="N143" s="752">
        <v>18.42896189</v>
      </c>
      <c r="O143" s="752">
        <v>29.072996990000004</v>
      </c>
      <c r="P143" s="752">
        <v>43.006661150000006</v>
      </c>
      <c r="Q143" s="752">
        <v>37.215538970000004</v>
      </c>
      <c r="R143" s="752">
        <v>34.326546749999999</v>
      </c>
      <c r="S143" s="753">
        <v>14.47966884</v>
      </c>
      <c r="T143" s="754">
        <v>14.28971617</v>
      </c>
      <c r="U143" s="755">
        <v>14.2349742</v>
      </c>
      <c r="V143" s="752">
        <v>9.4195763100000001</v>
      </c>
    </row>
    <row r="144" spans="2:22" s="604" customFormat="1" outlineLevel="1">
      <c r="B144" s="627" t="s">
        <v>848</v>
      </c>
      <c r="C144" s="651" t="s">
        <v>849</v>
      </c>
      <c r="D144" s="648"/>
      <c r="E144" s="649"/>
      <c r="F144" s="649"/>
      <c r="G144" s="646"/>
      <c r="H144" s="646"/>
      <c r="I144" s="646"/>
      <c r="J144" s="646"/>
      <c r="K144" s="646"/>
      <c r="L144" s="646"/>
      <c r="M144" s="752">
        <v>0</v>
      </c>
      <c r="N144" s="752">
        <v>0</v>
      </c>
      <c r="O144" s="752">
        <v>0</v>
      </c>
      <c r="P144" s="752">
        <v>0</v>
      </c>
      <c r="Q144" s="752">
        <v>0</v>
      </c>
      <c r="R144" s="752">
        <v>0</v>
      </c>
      <c r="S144" s="753">
        <v>0</v>
      </c>
      <c r="T144" s="754">
        <v>0</v>
      </c>
      <c r="U144" s="755">
        <v>0</v>
      </c>
      <c r="V144" s="752">
        <v>0</v>
      </c>
    </row>
    <row r="145" spans="2:22" s="604" customFormat="1" outlineLevel="1">
      <c r="B145" s="627" t="s">
        <v>854</v>
      </c>
      <c r="C145" s="651" t="s">
        <v>855</v>
      </c>
      <c r="D145" s="648"/>
      <c r="E145" s="649"/>
      <c r="F145" s="649"/>
      <c r="G145" s="646"/>
      <c r="H145" s="646"/>
      <c r="I145" s="646"/>
      <c r="J145" s="646"/>
      <c r="K145" s="646"/>
      <c r="L145" s="646"/>
      <c r="M145" s="752">
        <v>0</v>
      </c>
      <c r="N145" s="752">
        <v>0</v>
      </c>
      <c r="O145" s="752">
        <v>0</v>
      </c>
      <c r="P145" s="752">
        <v>0</v>
      </c>
      <c r="Q145" s="752">
        <v>0</v>
      </c>
      <c r="R145" s="752">
        <v>0</v>
      </c>
      <c r="S145" s="753">
        <v>0</v>
      </c>
      <c r="T145" s="754">
        <v>0</v>
      </c>
      <c r="U145" s="755">
        <v>0</v>
      </c>
      <c r="V145" s="752">
        <v>0</v>
      </c>
    </row>
    <row r="146" spans="2:22" s="604" customFormat="1" outlineLevel="1">
      <c r="B146" s="627" t="s">
        <v>857</v>
      </c>
      <c r="C146" s="651" t="s">
        <v>858</v>
      </c>
      <c r="D146" s="648"/>
      <c r="E146" s="649"/>
      <c r="F146" s="649"/>
      <c r="G146" s="646"/>
      <c r="H146" s="646"/>
      <c r="I146" s="646"/>
      <c r="J146" s="646"/>
      <c r="K146" s="646"/>
      <c r="L146" s="646"/>
      <c r="M146" s="752">
        <v>119.88925359999999</v>
      </c>
      <c r="N146" s="752">
        <v>119.12272179</v>
      </c>
      <c r="O146" s="752">
        <v>151.09334562999999</v>
      </c>
      <c r="P146" s="752">
        <v>190.7003993661036</v>
      </c>
      <c r="Q146" s="752">
        <v>209.43415302659395</v>
      </c>
      <c r="R146" s="752">
        <v>209.94995120659399</v>
      </c>
      <c r="S146" s="753">
        <v>210.467545316594</v>
      </c>
      <c r="T146" s="754">
        <v>211.02149393659397</v>
      </c>
      <c r="U146" s="755">
        <v>193.53148605659399</v>
      </c>
      <c r="V146" s="752">
        <v>162.34880791660402</v>
      </c>
    </row>
    <row r="147" spans="2:22" s="604" customFormat="1" outlineLevel="1">
      <c r="B147" s="603" t="s">
        <v>714</v>
      </c>
      <c r="C147" s="645" t="s">
        <v>715</v>
      </c>
      <c r="D147" s="646"/>
      <c r="E147" s="647"/>
      <c r="F147" s="647"/>
      <c r="G147" s="646"/>
      <c r="H147" s="646"/>
      <c r="I147" s="646"/>
      <c r="J147" s="646"/>
      <c r="K147" s="646"/>
      <c r="L147" s="646"/>
      <c r="M147" s="752">
        <v>-0.69450592999999117</v>
      </c>
      <c r="N147" s="752">
        <v>-32.087439259999996</v>
      </c>
      <c r="O147" s="752">
        <v>-32.222831320000004</v>
      </c>
      <c r="P147" s="752">
        <v>-25.097100306103528</v>
      </c>
      <c r="Q147" s="752">
        <v>-29.415379306594048</v>
      </c>
      <c r="R147" s="752">
        <v>208.06651342340606</v>
      </c>
      <c r="S147" s="753">
        <v>27.196430873405973</v>
      </c>
      <c r="T147" s="754">
        <v>71.611202253405935</v>
      </c>
      <c r="U147" s="755">
        <v>-12.038463636594017</v>
      </c>
      <c r="V147" s="752">
        <v>172.79525299339599</v>
      </c>
    </row>
    <row r="148" spans="2:22" s="604" customFormat="1" outlineLevel="1">
      <c r="B148" s="627" t="s">
        <v>867</v>
      </c>
      <c r="C148" s="651" t="s">
        <v>216</v>
      </c>
      <c r="D148" s="648"/>
      <c r="E148" s="649"/>
      <c r="F148" s="649"/>
      <c r="G148" s="646"/>
      <c r="H148" s="646"/>
      <c r="I148" s="646"/>
      <c r="J148" s="646"/>
      <c r="K148" s="646"/>
      <c r="L148" s="646"/>
      <c r="M148" s="756">
        <v>0</v>
      </c>
      <c r="N148" s="757">
        <v>0</v>
      </c>
      <c r="O148" s="757">
        <v>6.6242929490685748E-2</v>
      </c>
      <c r="P148" s="757">
        <v>3.8688810708036904E-2</v>
      </c>
      <c r="Q148" s="757">
        <v>1.1134691925388037E-2</v>
      </c>
      <c r="R148" s="757">
        <v>0</v>
      </c>
      <c r="S148" s="758">
        <v>0</v>
      </c>
      <c r="T148" s="759">
        <v>0</v>
      </c>
      <c r="U148" s="757">
        <v>0</v>
      </c>
      <c r="V148" s="757">
        <v>0</v>
      </c>
    </row>
    <row r="149" spans="2:22" s="604" customFormat="1" outlineLevel="1">
      <c r="C149" s="652" t="s">
        <v>716</v>
      </c>
      <c r="D149" s="653"/>
      <c r="E149" s="684"/>
      <c r="F149" s="684"/>
      <c r="G149" s="646"/>
      <c r="H149" s="646"/>
      <c r="I149" s="646"/>
      <c r="J149" s="646"/>
      <c r="K149" s="646"/>
      <c r="L149" s="646"/>
      <c r="M149" s="633">
        <v>0</v>
      </c>
      <c r="N149" s="633">
        <v>0</v>
      </c>
      <c r="O149" s="633">
        <v>0</v>
      </c>
      <c r="P149" s="633">
        <v>0</v>
      </c>
      <c r="Q149" s="633">
        <v>0</v>
      </c>
      <c r="R149" s="633">
        <v>0</v>
      </c>
      <c r="S149" s="633">
        <v>0</v>
      </c>
      <c r="T149" s="633">
        <v>0</v>
      </c>
      <c r="U149" s="633">
        <v>0</v>
      </c>
      <c r="V149" s="633">
        <v>0</v>
      </c>
    </row>
    <row r="150" spans="2:22" s="604" customFormat="1" outlineLevel="1">
      <c r="C150" s="655" t="s">
        <v>764</v>
      </c>
      <c r="D150" s="646"/>
      <c r="E150" s="647"/>
      <c r="F150" s="647"/>
      <c r="G150" s="646"/>
      <c r="H150" s="646"/>
      <c r="I150" s="646"/>
      <c r="J150" s="646"/>
      <c r="K150" s="646"/>
      <c r="L150" s="646"/>
      <c r="M150" s="721">
        <v>129.02845392</v>
      </c>
      <c r="N150" s="722">
        <v>105.46424442</v>
      </c>
      <c r="O150" s="722">
        <v>148.00975422949068</v>
      </c>
      <c r="P150" s="722">
        <v>208.64864902070812</v>
      </c>
      <c r="Q150" s="722">
        <v>217.24544738192529</v>
      </c>
      <c r="R150" s="722">
        <v>452.34301138000006</v>
      </c>
      <c r="S150" s="723">
        <v>252.14364502999996</v>
      </c>
      <c r="T150" s="724">
        <v>296.9224123599999</v>
      </c>
      <c r="U150" s="725">
        <v>195.72799662</v>
      </c>
      <c r="V150" s="722">
        <v>344.56363722000003</v>
      </c>
    </row>
    <row r="151" spans="2:22" s="604" customFormat="1" outlineLevel="1">
      <c r="C151" s="645" t="s">
        <v>720</v>
      </c>
      <c r="D151" s="646"/>
      <c r="E151" s="647"/>
      <c r="F151" s="647"/>
      <c r="G151" s="646"/>
      <c r="H151" s="646"/>
      <c r="I151" s="646"/>
      <c r="J151" s="646"/>
      <c r="K151" s="646"/>
      <c r="L151" s="646"/>
      <c r="M151" s="633">
        <v>0</v>
      </c>
      <c r="N151" s="633">
        <v>0</v>
      </c>
      <c r="O151" s="633">
        <v>0</v>
      </c>
      <c r="P151" s="633">
        <v>0</v>
      </c>
      <c r="Q151" s="633">
        <v>0</v>
      </c>
      <c r="R151" s="633">
        <v>0</v>
      </c>
      <c r="S151" s="633">
        <v>0</v>
      </c>
      <c r="T151" s="633">
        <v>0</v>
      </c>
      <c r="U151" s="633">
        <v>0</v>
      </c>
      <c r="V151" s="633">
        <v>0</v>
      </c>
    </row>
    <row r="152" spans="2:22" s="604" customFormat="1" outlineLevel="1">
      <c r="C152" s="645" t="s">
        <v>765</v>
      </c>
      <c r="D152" s="646"/>
      <c r="E152" s="647"/>
      <c r="F152" s="647"/>
      <c r="G152" s="646"/>
      <c r="H152" s="646"/>
      <c r="I152" s="646"/>
      <c r="J152" s="646"/>
      <c r="K152" s="646"/>
      <c r="L152" s="646"/>
      <c r="M152" s="633">
        <v>0</v>
      </c>
      <c r="N152" s="633">
        <v>0</v>
      </c>
      <c r="O152" s="633">
        <v>0</v>
      </c>
      <c r="P152" s="633">
        <v>0</v>
      </c>
      <c r="Q152" s="633">
        <v>0</v>
      </c>
      <c r="R152" s="633">
        <v>0</v>
      </c>
      <c r="S152" s="633">
        <v>0</v>
      </c>
      <c r="T152" s="633">
        <v>0</v>
      </c>
      <c r="U152" s="633">
        <v>0</v>
      </c>
      <c r="V152" s="633">
        <v>0</v>
      </c>
    </row>
    <row r="153" spans="2:22" s="604" customFormat="1" outlineLevel="1">
      <c r="C153" s="645" t="s">
        <v>734</v>
      </c>
      <c r="D153" s="646"/>
      <c r="E153" s="654"/>
      <c r="F153" s="654"/>
      <c r="G153" s="646"/>
      <c r="H153" s="646"/>
      <c r="I153" s="646"/>
      <c r="J153" s="646"/>
      <c r="K153" s="646"/>
      <c r="L153" s="646"/>
      <c r="M153" s="633">
        <v>0</v>
      </c>
      <c r="N153" s="633">
        <v>0</v>
      </c>
      <c r="O153" s="633">
        <v>0</v>
      </c>
      <c r="P153" s="633">
        <v>0</v>
      </c>
      <c r="Q153" s="633">
        <v>0</v>
      </c>
      <c r="R153" s="633">
        <v>0</v>
      </c>
      <c r="S153" s="633">
        <v>0</v>
      </c>
      <c r="T153" s="633">
        <v>0</v>
      </c>
      <c r="U153" s="633">
        <v>0</v>
      </c>
      <c r="V153" s="633">
        <v>0</v>
      </c>
    </row>
    <row r="154" spans="2:22" s="604" customFormat="1" outlineLevel="1">
      <c r="B154" s="1275"/>
      <c r="C154" s="645" t="s">
        <v>766</v>
      </c>
      <c r="D154" s="646"/>
      <c r="E154" s="654"/>
      <c r="F154" s="654"/>
      <c r="G154" s="646"/>
      <c r="H154" s="646"/>
      <c r="I154" s="646"/>
      <c r="J154" s="646"/>
      <c r="K154" s="646"/>
      <c r="L154" s="646"/>
      <c r="M154" s="633">
        <v>0</v>
      </c>
      <c r="N154" s="633">
        <v>0</v>
      </c>
      <c r="O154" s="633">
        <v>0</v>
      </c>
      <c r="P154" s="633">
        <v>0</v>
      </c>
      <c r="Q154" s="633">
        <v>0</v>
      </c>
      <c r="R154" s="633">
        <v>0</v>
      </c>
      <c r="S154" s="633">
        <v>0</v>
      </c>
      <c r="T154" s="633">
        <v>0</v>
      </c>
      <c r="U154" s="633">
        <v>0</v>
      </c>
      <c r="V154" s="633">
        <v>0</v>
      </c>
    </row>
    <row r="155" spans="2:22" s="604" customFormat="1" outlineLevel="1">
      <c r="C155" s="652" t="s">
        <v>767</v>
      </c>
      <c r="D155" s="653"/>
      <c r="E155" s="684"/>
      <c r="F155" s="684"/>
      <c r="G155" s="646"/>
      <c r="H155" s="646"/>
      <c r="I155" s="646"/>
      <c r="J155" s="646"/>
      <c r="K155" s="646"/>
      <c r="L155" s="646"/>
      <c r="M155" s="633">
        <v>-105.6835105654047</v>
      </c>
      <c r="N155" s="633">
        <v>-86.474120180908017</v>
      </c>
      <c r="O155" s="633">
        <v>-121.50055005682094</v>
      </c>
      <c r="P155" s="633">
        <v>-171.43768647414694</v>
      </c>
      <c r="Q155" s="633">
        <v>-178.62903942127124</v>
      </c>
      <c r="R155" s="633">
        <v>-371.93689711565037</v>
      </c>
      <c r="S155" s="633">
        <v>-207.3239170287635</v>
      </c>
      <c r="T155" s="633">
        <v>-244.14304622581562</v>
      </c>
      <c r="U155" s="633">
        <v>-160.93641751955676</v>
      </c>
      <c r="V155" s="633">
        <v>-283.31581755958513</v>
      </c>
    </row>
    <row r="156" spans="2:22" s="604" customFormat="1" outlineLevel="1">
      <c r="C156" s="655" t="s">
        <v>768</v>
      </c>
      <c r="D156" s="646"/>
      <c r="E156" s="647"/>
      <c r="F156" s="647"/>
      <c r="G156" s="646"/>
      <c r="H156" s="646"/>
      <c r="I156" s="646"/>
      <c r="J156" s="646"/>
      <c r="K156" s="646"/>
      <c r="L156" s="646"/>
      <c r="M156" s="698">
        <v>23.344943354595301</v>
      </c>
      <c r="N156" s="1261">
        <v>18.990124239091983</v>
      </c>
      <c r="O156" s="1261">
        <v>26.50920417266974</v>
      </c>
      <c r="P156" s="1261">
        <v>37.210962546561177</v>
      </c>
      <c r="Q156" s="1261">
        <v>38.616407960654044</v>
      </c>
      <c r="R156" s="1261">
        <v>80.406114264349696</v>
      </c>
      <c r="S156" s="1260">
        <v>44.819728001236456</v>
      </c>
      <c r="T156" s="1259">
        <v>52.779366134184272</v>
      </c>
      <c r="U156" s="1258">
        <v>34.791579100443244</v>
      </c>
      <c r="V156" s="1261">
        <v>61.247819660414905</v>
      </c>
    </row>
    <row r="157" spans="2:22" s="604" customFormat="1" outlineLevel="1">
      <c r="C157" s="659"/>
      <c r="D157" s="659"/>
      <c r="E157" s="659"/>
      <c r="F157" s="659"/>
      <c r="G157" s="659"/>
      <c r="H157" s="659"/>
      <c r="I157" s="659"/>
      <c r="J157" s="659"/>
      <c r="K157" s="659"/>
      <c r="L157" s="659"/>
      <c r="M157" s="685"/>
      <c r="N157" s="685"/>
      <c r="O157" s="685"/>
      <c r="P157" s="685"/>
      <c r="Q157" s="685"/>
      <c r="R157" s="685"/>
      <c r="S157" s="685"/>
      <c r="T157" s="686"/>
      <c r="U157" s="685"/>
      <c r="V157" s="685"/>
    </row>
    <row r="158" spans="2:22" s="604" customFormat="1" outlineLevel="1">
      <c r="M158" s="685"/>
      <c r="N158" s="685"/>
      <c r="O158" s="685"/>
      <c r="P158" s="685"/>
      <c r="Q158" s="685"/>
      <c r="R158" s="685"/>
      <c r="S158" s="685"/>
      <c r="T158" s="686"/>
      <c r="U158" s="685"/>
      <c r="V158" s="685"/>
    </row>
    <row r="159" spans="2:22" s="604" customFormat="1" outlineLevel="1">
      <c r="C159" s="663" t="s">
        <v>769</v>
      </c>
      <c r="D159" s="664"/>
      <c r="E159" s="663"/>
      <c r="F159" s="665"/>
      <c r="G159" s="664"/>
      <c r="H159" s="664"/>
      <c r="I159" s="664"/>
      <c r="J159" s="664"/>
      <c r="K159" s="664"/>
      <c r="L159" s="664"/>
      <c r="M159" s="687"/>
      <c r="N159" s="687"/>
      <c r="O159" s="687"/>
      <c r="P159" s="687"/>
      <c r="Q159" s="687"/>
      <c r="R159" s="687"/>
      <c r="S159" s="687"/>
      <c r="T159" s="688"/>
      <c r="U159" s="687"/>
      <c r="V159" s="687"/>
    </row>
    <row r="160" spans="2:22" s="604" customFormat="1" outlineLevel="1">
      <c r="C160" s="645" t="s">
        <v>728</v>
      </c>
      <c r="D160" s="646"/>
      <c r="E160" s="647"/>
      <c r="F160" s="647"/>
      <c r="G160" s="646"/>
      <c r="H160" s="646"/>
      <c r="I160" s="646"/>
      <c r="J160" s="646"/>
      <c r="K160" s="646"/>
      <c r="L160" s="646"/>
      <c r="M160" s="633">
        <v>0</v>
      </c>
      <c r="N160" s="633">
        <v>0</v>
      </c>
      <c r="O160" s="633">
        <v>0</v>
      </c>
      <c r="P160" s="633">
        <v>0</v>
      </c>
      <c r="Q160" s="633">
        <v>0</v>
      </c>
      <c r="R160" s="633">
        <v>0</v>
      </c>
      <c r="S160" s="633">
        <v>0</v>
      </c>
      <c r="T160" s="633">
        <v>0</v>
      </c>
      <c r="U160" s="633">
        <v>0</v>
      </c>
      <c r="V160" s="633">
        <v>0</v>
      </c>
    </row>
    <row r="161" spans="2:22" s="604" customFormat="1" outlineLevel="1">
      <c r="C161" s="647" t="s">
        <v>729</v>
      </c>
      <c r="D161" s="646"/>
      <c r="E161" s="647"/>
      <c r="F161" s="647"/>
      <c r="G161" s="646"/>
      <c r="H161" s="646"/>
      <c r="I161" s="646"/>
      <c r="J161" s="646"/>
      <c r="K161" s="646"/>
      <c r="L161" s="646"/>
      <c r="M161" s="633">
        <v>0</v>
      </c>
      <c r="N161" s="633">
        <v>0</v>
      </c>
      <c r="O161" s="633">
        <v>0</v>
      </c>
      <c r="P161" s="633">
        <v>0</v>
      </c>
      <c r="Q161" s="633">
        <v>0</v>
      </c>
      <c r="R161" s="633">
        <v>0</v>
      </c>
      <c r="S161" s="633">
        <v>0</v>
      </c>
      <c r="T161" s="633">
        <v>0</v>
      </c>
      <c r="U161" s="633">
        <v>0</v>
      </c>
      <c r="V161" s="633">
        <v>0</v>
      </c>
    </row>
    <row r="162" spans="2:22" s="604" customFormat="1" outlineLevel="1">
      <c r="C162" s="647" t="s">
        <v>730</v>
      </c>
      <c r="D162" s="646"/>
      <c r="E162" s="647"/>
      <c r="F162" s="647"/>
      <c r="G162" s="646"/>
      <c r="H162" s="646"/>
      <c r="I162" s="646"/>
      <c r="J162" s="646"/>
      <c r="K162" s="646"/>
      <c r="L162" s="646"/>
      <c r="M162" s="633">
        <v>0</v>
      </c>
      <c r="N162" s="633">
        <v>0</v>
      </c>
      <c r="O162" s="633">
        <v>0</v>
      </c>
      <c r="P162" s="633">
        <v>0</v>
      </c>
      <c r="Q162" s="633">
        <v>0</v>
      </c>
      <c r="R162" s="633">
        <v>0</v>
      </c>
      <c r="S162" s="633">
        <v>0</v>
      </c>
      <c r="T162" s="633">
        <v>0</v>
      </c>
      <c r="U162" s="633">
        <v>0</v>
      </c>
      <c r="V162" s="633">
        <v>0</v>
      </c>
    </row>
    <row r="163" spans="2:22" s="604" customFormat="1" outlineLevel="1">
      <c r="B163" s="627" t="s">
        <v>851</v>
      </c>
      <c r="C163" s="651" t="s">
        <v>852</v>
      </c>
      <c r="D163" s="648"/>
      <c r="E163" s="649"/>
      <c r="F163" s="649"/>
      <c r="G163" s="646"/>
      <c r="H163" s="646"/>
      <c r="I163" s="646"/>
      <c r="J163" s="646"/>
      <c r="K163" s="646"/>
      <c r="L163" s="646"/>
      <c r="M163" s="752">
        <v>0</v>
      </c>
      <c r="N163" s="760">
        <v>0</v>
      </c>
      <c r="O163" s="760">
        <v>0</v>
      </c>
      <c r="P163" s="760">
        <v>0</v>
      </c>
      <c r="Q163" s="760">
        <v>0</v>
      </c>
      <c r="R163" s="760">
        <v>0</v>
      </c>
      <c r="S163" s="761">
        <v>0</v>
      </c>
      <c r="T163" s="762">
        <v>0</v>
      </c>
      <c r="U163" s="755">
        <v>0</v>
      </c>
      <c r="V163" s="760">
        <v>0</v>
      </c>
    </row>
    <row r="164" spans="2:22" s="604" customFormat="1" outlineLevel="1">
      <c r="C164" s="655" t="s">
        <v>770</v>
      </c>
      <c r="D164" s="646"/>
      <c r="E164" s="647"/>
      <c r="F164" s="647"/>
      <c r="G164" s="646"/>
      <c r="H164" s="646"/>
      <c r="I164" s="646"/>
      <c r="J164" s="646"/>
      <c r="K164" s="646"/>
      <c r="L164" s="646"/>
      <c r="M164" s="721">
        <v>0</v>
      </c>
      <c r="N164" s="722">
        <v>0</v>
      </c>
      <c r="O164" s="722">
        <v>0</v>
      </c>
      <c r="P164" s="722">
        <v>0</v>
      </c>
      <c r="Q164" s="722">
        <v>0</v>
      </c>
      <c r="R164" s="722">
        <v>0</v>
      </c>
      <c r="S164" s="723">
        <v>0</v>
      </c>
      <c r="T164" s="724">
        <v>0</v>
      </c>
      <c r="U164" s="725">
        <v>0</v>
      </c>
      <c r="V164" s="722">
        <v>0</v>
      </c>
    </row>
    <row r="165" spans="2:22" s="604" customFormat="1" outlineLevel="1">
      <c r="C165" s="645" t="s">
        <v>771</v>
      </c>
      <c r="D165" s="646"/>
      <c r="E165" s="647"/>
      <c r="F165" s="647"/>
      <c r="G165" s="646"/>
      <c r="H165" s="646"/>
      <c r="I165" s="646"/>
      <c r="J165" s="646"/>
      <c r="K165" s="646"/>
      <c r="L165" s="646"/>
      <c r="M165" s="633">
        <v>0</v>
      </c>
      <c r="N165" s="633">
        <v>0</v>
      </c>
      <c r="O165" s="633">
        <v>0</v>
      </c>
      <c r="P165" s="633">
        <v>0</v>
      </c>
      <c r="Q165" s="633">
        <v>0</v>
      </c>
      <c r="R165" s="633">
        <v>0</v>
      </c>
      <c r="S165" s="633">
        <v>0</v>
      </c>
      <c r="T165" s="633">
        <v>0</v>
      </c>
      <c r="U165" s="633">
        <v>0</v>
      </c>
      <c r="V165" s="633">
        <v>0</v>
      </c>
    </row>
    <row r="166" spans="2:22" s="604" customFormat="1" outlineLevel="1">
      <c r="C166" s="645" t="s">
        <v>733</v>
      </c>
      <c r="D166" s="646"/>
      <c r="E166" s="647"/>
      <c r="F166" s="647"/>
      <c r="G166" s="646"/>
      <c r="H166" s="646"/>
      <c r="I166" s="646"/>
      <c r="J166" s="646"/>
      <c r="K166" s="646"/>
      <c r="L166" s="646"/>
      <c r="M166" s="633">
        <v>0</v>
      </c>
      <c r="N166" s="633">
        <v>0</v>
      </c>
      <c r="O166" s="633">
        <v>0</v>
      </c>
      <c r="P166" s="633">
        <v>0</v>
      </c>
      <c r="Q166" s="633">
        <v>0</v>
      </c>
      <c r="R166" s="633">
        <v>0</v>
      </c>
      <c r="S166" s="633">
        <v>0</v>
      </c>
      <c r="T166" s="633">
        <v>0</v>
      </c>
      <c r="U166" s="633">
        <v>0</v>
      </c>
      <c r="V166" s="633">
        <v>0</v>
      </c>
    </row>
    <row r="167" spans="2:22" s="604" customFormat="1" outlineLevel="1">
      <c r="C167" s="645" t="s">
        <v>772</v>
      </c>
      <c r="D167" s="646"/>
      <c r="E167" s="647"/>
      <c r="F167" s="647"/>
      <c r="G167" s="646"/>
      <c r="H167" s="646"/>
      <c r="I167" s="646"/>
      <c r="J167" s="646"/>
      <c r="K167" s="646"/>
      <c r="L167" s="646"/>
      <c r="M167" s="633">
        <v>0</v>
      </c>
      <c r="N167" s="633">
        <v>0</v>
      </c>
      <c r="O167" s="633">
        <v>0</v>
      </c>
      <c r="P167" s="633">
        <v>0</v>
      </c>
      <c r="Q167" s="633">
        <v>0</v>
      </c>
      <c r="R167" s="633">
        <v>0</v>
      </c>
      <c r="S167" s="633">
        <v>0</v>
      </c>
      <c r="T167" s="633">
        <v>0</v>
      </c>
      <c r="U167" s="633">
        <v>0</v>
      </c>
      <c r="V167" s="633">
        <v>0</v>
      </c>
    </row>
    <row r="168" spans="2:22" s="604" customFormat="1" outlineLevel="1">
      <c r="C168" s="652" t="s">
        <v>716</v>
      </c>
      <c r="D168" s="653"/>
      <c r="E168" s="684"/>
      <c r="F168" s="684"/>
      <c r="G168" s="646"/>
      <c r="H168" s="646"/>
      <c r="I168" s="646"/>
      <c r="J168" s="646"/>
      <c r="K168" s="646"/>
      <c r="L168" s="646"/>
      <c r="M168" s="633">
        <v>0</v>
      </c>
      <c r="N168" s="633">
        <v>0</v>
      </c>
      <c r="O168" s="633">
        <v>0</v>
      </c>
      <c r="P168" s="633">
        <v>0</v>
      </c>
      <c r="Q168" s="633">
        <v>0</v>
      </c>
      <c r="R168" s="633">
        <v>0</v>
      </c>
      <c r="S168" s="633">
        <v>0</v>
      </c>
      <c r="T168" s="633">
        <v>0</v>
      </c>
      <c r="U168" s="633">
        <v>0</v>
      </c>
      <c r="V168" s="633">
        <v>0</v>
      </c>
    </row>
    <row r="169" spans="2:22" s="604" customFormat="1" outlineLevel="1">
      <c r="C169" s="655" t="s">
        <v>773</v>
      </c>
      <c r="D169" s="646"/>
      <c r="E169" s="647"/>
      <c r="F169" s="647"/>
      <c r="G169" s="646"/>
      <c r="H169" s="646"/>
      <c r="I169" s="646"/>
      <c r="J169" s="646"/>
      <c r="K169" s="646"/>
      <c r="L169" s="646"/>
      <c r="M169" s="698">
        <v>0</v>
      </c>
      <c r="N169" s="699">
        <v>0</v>
      </c>
      <c r="O169" s="699">
        <v>0</v>
      </c>
      <c r="P169" s="699">
        <v>0</v>
      </c>
      <c r="Q169" s="699">
        <v>0</v>
      </c>
      <c r="R169" s="699">
        <v>0</v>
      </c>
      <c r="S169" s="700">
        <v>0</v>
      </c>
      <c r="T169" s="701">
        <v>0</v>
      </c>
      <c r="U169" s="702">
        <v>0</v>
      </c>
      <c r="V169" s="699">
        <v>0</v>
      </c>
    </row>
    <row r="170" spans="2:22" s="604" customFormat="1" outlineLevel="1">
      <c r="C170" s="659"/>
      <c r="D170" s="659"/>
      <c r="E170" s="659"/>
      <c r="F170" s="659"/>
      <c r="G170" s="659"/>
      <c r="H170" s="659"/>
      <c r="I170" s="659"/>
      <c r="J170" s="659"/>
      <c r="K170" s="659"/>
      <c r="L170" s="659"/>
      <c r="M170" s="685"/>
      <c r="N170" s="685"/>
      <c r="O170" s="685"/>
      <c r="P170" s="685"/>
      <c r="Q170" s="685"/>
      <c r="R170" s="685"/>
      <c r="S170" s="685"/>
      <c r="T170" s="686"/>
      <c r="U170" s="685"/>
      <c r="V170" s="685"/>
    </row>
    <row r="171" spans="2:22" s="604" customFormat="1" outlineLevel="1">
      <c r="C171" s="668" t="s">
        <v>774</v>
      </c>
      <c r="D171" s="669"/>
      <c r="E171" s="669"/>
      <c r="F171" s="669"/>
      <c r="G171" s="664"/>
      <c r="H171" s="664"/>
      <c r="I171" s="664"/>
      <c r="J171" s="664"/>
      <c r="K171" s="664"/>
      <c r="L171" s="665"/>
      <c r="M171" s="685"/>
      <c r="N171" s="685"/>
      <c r="O171" s="685"/>
      <c r="P171" s="685"/>
      <c r="Q171" s="685"/>
      <c r="R171" s="685"/>
      <c r="S171" s="685"/>
      <c r="T171" s="686"/>
      <c r="U171" s="685"/>
      <c r="V171" s="685"/>
    </row>
    <row r="172" spans="2:22" s="604" customFormat="1" outlineLevel="1">
      <c r="C172" s="670" t="s">
        <v>775</v>
      </c>
      <c r="D172" s="670"/>
      <c r="E172" s="670"/>
      <c r="F172" s="670"/>
      <c r="G172" s="646"/>
      <c r="H172" s="646"/>
      <c r="I172" s="646"/>
      <c r="J172" s="646"/>
      <c r="K172" s="646"/>
      <c r="L172" s="646"/>
      <c r="M172" s="736">
        <v>23.344943354595301</v>
      </c>
      <c r="N172" s="763">
        <v>18.990124239091983</v>
      </c>
      <c r="O172" s="763">
        <v>26.50920417266974</v>
      </c>
      <c r="P172" s="763">
        <v>37.210962546561177</v>
      </c>
      <c r="Q172" s="763">
        <v>38.616407960654044</v>
      </c>
      <c r="R172" s="763">
        <v>80.406114264349696</v>
      </c>
      <c r="S172" s="764">
        <v>44.819728001236456</v>
      </c>
      <c r="T172" s="765">
        <v>52.779366134184272</v>
      </c>
      <c r="U172" s="739">
        <v>34.791579100443244</v>
      </c>
      <c r="V172" s="763">
        <v>61.247819660414905</v>
      </c>
    </row>
    <row r="173" spans="2:22" s="604" customFormat="1" outlineLevel="1">
      <c r="C173" s="670" t="s">
        <v>776</v>
      </c>
      <c r="D173" s="671"/>
      <c r="E173" s="671"/>
      <c r="F173" s="671"/>
      <c r="G173" s="646"/>
      <c r="H173" s="646"/>
      <c r="I173" s="646"/>
      <c r="J173" s="646"/>
      <c r="K173" s="646"/>
      <c r="L173" s="646"/>
      <c r="M173" s="736">
        <v>0</v>
      </c>
      <c r="N173" s="763">
        <v>0</v>
      </c>
      <c r="O173" s="763">
        <v>0</v>
      </c>
      <c r="P173" s="763">
        <v>0</v>
      </c>
      <c r="Q173" s="763">
        <v>0</v>
      </c>
      <c r="R173" s="763">
        <v>0</v>
      </c>
      <c r="S173" s="764">
        <v>0</v>
      </c>
      <c r="T173" s="765">
        <v>0</v>
      </c>
      <c r="U173" s="739">
        <v>0</v>
      </c>
      <c r="V173" s="763">
        <v>0</v>
      </c>
    </row>
    <row r="174" spans="2:22" s="604" customFormat="1" outlineLevel="1">
      <c r="C174" s="670" t="s">
        <v>777</v>
      </c>
      <c r="D174" s="670"/>
      <c r="E174" s="670"/>
      <c r="F174" s="670"/>
      <c r="G174" s="646"/>
      <c r="H174" s="646"/>
      <c r="I174" s="646"/>
      <c r="J174" s="646"/>
      <c r="K174" s="646"/>
      <c r="L174" s="646"/>
      <c r="M174" s="698">
        <v>23.344943354595301</v>
      </c>
      <c r="N174" s="699">
        <v>18.990124239091983</v>
      </c>
      <c r="O174" s="699">
        <v>26.50920417266974</v>
      </c>
      <c r="P174" s="699">
        <v>37.210962546561177</v>
      </c>
      <c r="Q174" s="699">
        <v>38.616407960654044</v>
      </c>
      <c r="R174" s="699">
        <v>80.406114264349696</v>
      </c>
      <c r="S174" s="700">
        <v>44.819728001236456</v>
      </c>
      <c r="T174" s="701">
        <v>52.779366134184272</v>
      </c>
      <c r="U174" s="702">
        <v>34.791579100443244</v>
      </c>
      <c r="V174" s="699">
        <v>61.247819660414905</v>
      </c>
    </row>
    <row r="175" spans="2:22" s="604" customFormat="1" outlineLevel="1">
      <c r="C175" s="689"/>
      <c r="D175" s="689"/>
      <c r="E175" s="689"/>
      <c r="F175" s="689"/>
      <c r="G175" s="659"/>
      <c r="H175" s="659"/>
      <c r="I175" s="659"/>
      <c r="J175" s="659"/>
      <c r="K175" s="659"/>
      <c r="L175" s="659"/>
      <c r="M175" s="685"/>
      <c r="N175" s="685"/>
      <c r="O175" s="685"/>
      <c r="P175" s="685"/>
      <c r="Q175" s="685"/>
      <c r="R175" s="685"/>
      <c r="S175" s="685"/>
      <c r="T175" s="686"/>
      <c r="U175" s="685"/>
      <c r="V175" s="685"/>
    </row>
    <row r="176" spans="2:22" s="604" customFormat="1" outlineLevel="1">
      <c r="B176" s="672"/>
      <c r="C176" s="673" t="s">
        <v>778</v>
      </c>
      <c r="D176" s="673"/>
      <c r="E176" s="664"/>
      <c r="F176" s="664"/>
      <c r="G176" s="664"/>
      <c r="H176" s="664"/>
      <c r="I176" s="664"/>
      <c r="J176" s="664"/>
      <c r="K176" s="664"/>
      <c r="L176" s="664"/>
      <c r="M176" s="685"/>
      <c r="N176" s="685"/>
      <c r="O176" s="685"/>
      <c r="P176" s="685"/>
      <c r="Q176" s="685"/>
      <c r="R176" s="685"/>
      <c r="S176" s="685"/>
      <c r="T176" s="686"/>
      <c r="U176" s="685"/>
      <c r="V176" s="685"/>
    </row>
    <row r="177" spans="2:24" s="604" customFormat="1" outlineLevel="1">
      <c r="B177" s="672"/>
      <c r="C177" s="646" t="s">
        <v>758</v>
      </c>
      <c r="D177" s="646"/>
      <c r="E177" s="646"/>
      <c r="F177" s="646"/>
      <c r="G177" s="646"/>
      <c r="H177" s="646"/>
      <c r="I177" s="646"/>
      <c r="J177" s="646"/>
      <c r="K177" s="646"/>
      <c r="L177" s="646"/>
      <c r="M177" s="633">
        <v>0</v>
      </c>
      <c r="N177" s="633">
        <v>0</v>
      </c>
      <c r="O177" s="633">
        <v>0</v>
      </c>
      <c r="P177" s="633">
        <v>0</v>
      </c>
      <c r="Q177" s="633">
        <v>0</v>
      </c>
      <c r="R177" s="633">
        <v>0</v>
      </c>
      <c r="S177" s="633">
        <v>0</v>
      </c>
      <c r="T177" s="633">
        <v>0</v>
      </c>
      <c r="U177" s="633">
        <v>0</v>
      </c>
      <c r="V177" s="633">
        <v>0</v>
      </c>
    </row>
    <row r="178" spans="2:24" s="604" customFormat="1" outlineLevel="1">
      <c r="B178" s="672"/>
      <c r="C178" s="646" t="s">
        <v>743</v>
      </c>
      <c r="D178" s="646"/>
      <c r="E178" s="646"/>
      <c r="F178" s="646"/>
      <c r="G178" s="646"/>
      <c r="H178" s="646"/>
      <c r="I178" s="646"/>
      <c r="J178" s="646"/>
      <c r="K178" s="646"/>
      <c r="L178" s="646"/>
      <c r="M178" s="55">
        <v>1</v>
      </c>
      <c r="N178" s="56">
        <v>1</v>
      </c>
      <c r="O178" s="56">
        <v>1</v>
      </c>
      <c r="P178" s="56">
        <v>1</v>
      </c>
      <c r="Q178" s="56">
        <v>1</v>
      </c>
      <c r="R178" s="56">
        <v>1</v>
      </c>
      <c r="S178" s="57">
        <v>1</v>
      </c>
      <c r="T178" s="320">
        <v>1</v>
      </c>
      <c r="U178" s="318">
        <v>1</v>
      </c>
      <c r="V178" s="56">
        <v>1</v>
      </c>
    </row>
    <row r="179" spans="2:24" s="604" customFormat="1" outlineLevel="1">
      <c r="B179" s="672"/>
      <c r="T179" s="636"/>
    </row>
    <row r="180" spans="2:24" s="604" customFormat="1">
      <c r="B180" s="630"/>
      <c r="T180" s="636"/>
      <c r="X180" s="690"/>
    </row>
    <row r="181" spans="2:24" s="604" customFormat="1" ht="15">
      <c r="B181" s="619" t="s">
        <v>779</v>
      </c>
      <c r="C181" s="620"/>
      <c r="D181" s="620"/>
      <c r="E181" s="621"/>
      <c r="F181" s="621"/>
      <c r="G181" s="620"/>
      <c r="H181" s="620"/>
      <c r="I181" s="620"/>
      <c r="J181" s="620"/>
      <c r="K181" s="620"/>
      <c r="L181" s="620"/>
      <c r="M181" s="620"/>
      <c r="N181" s="620"/>
      <c r="O181" s="620"/>
      <c r="P181" s="620"/>
      <c r="Q181" s="620"/>
      <c r="R181" s="620"/>
      <c r="S181" s="620"/>
      <c r="T181" s="622"/>
      <c r="U181" s="620"/>
      <c r="V181" s="620"/>
    </row>
    <row r="182" spans="2:24" s="604" customFormat="1">
      <c r="B182" s="691"/>
      <c r="C182" s="630"/>
      <c r="T182" s="636"/>
    </row>
    <row r="183" spans="2:24" s="604" customFormat="1">
      <c r="B183" s="691"/>
      <c r="C183" s="603" t="s">
        <v>780</v>
      </c>
      <c r="T183" s="636"/>
    </row>
    <row r="184" spans="2:24" s="604" customFormat="1">
      <c r="B184" s="630"/>
      <c r="C184" s="604" t="s">
        <v>781</v>
      </c>
      <c r="M184" s="766">
        <v>111.08822882338443</v>
      </c>
      <c r="N184" s="766">
        <v>112.40961624743659</v>
      </c>
      <c r="O184" s="766">
        <v>159.22311614895656</v>
      </c>
      <c r="P184" s="766">
        <v>177.46672304856614</v>
      </c>
      <c r="Q184" s="766">
        <v>176.16363373489523</v>
      </c>
      <c r="R184" s="766">
        <v>176.16363373489523</v>
      </c>
      <c r="S184" s="767">
        <v>176.16363373489523</v>
      </c>
      <c r="T184" s="768">
        <v>166.50940779337654</v>
      </c>
      <c r="U184" s="769">
        <v>143.07296068590315</v>
      </c>
      <c r="V184" s="766">
        <v>123.92330523141159</v>
      </c>
    </row>
    <row r="185" spans="2:24" s="604" customFormat="1">
      <c r="B185" s="630"/>
      <c r="C185" s="604" t="s">
        <v>782</v>
      </c>
      <c r="M185" s="766">
        <v>4.3916395256916374</v>
      </c>
      <c r="N185" s="766">
        <v>12.874817529880467</v>
      </c>
      <c r="O185" s="766">
        <v>25.477692466591872</v>
      </c>
      <c r="P185" s="766">
        <v>32.9978607903764</v>
      </c>
      <c r="Q185" s="766">
        <v>30.449657252733076</v>
      </c>
      <c r="R185" s="766">
        <v>27.602731907270449</v>
      </c>
      <c r="S185" s="767">
        <v>7.5430769247301406</v>
      </c>
      <c r="T185" s="768">
        <v>7.384898207614798</v>
      </c>
      <c r="U185" s="769">
        <v>7.368272291113998</v>
      </c>
      <c r="V185" s="766">
        <v>4.0498515127013963</v>
      </c>
    </row>
    <row r="186" spans="2:24" s="604" customFormat="1">
      <c r="B186" s="630"/>
      <c r="C186" s="604" t="s">
        <v>783</v>
      </c>
      <c r="M186" s="766">
        <v>16.2278747935094</v>
      </c>
      <c r="N186" s="766">
        <v>18.288737493531606</v>
      </c>
      <c r="O186" s="766">
        <v>15.52124387096254</v>
      </c>
      <c r="P186" s="766">
        <v>13.487313323387326</v>
      </c>
      <c r="Q186" s="766">
        <v>13.315903802390338</v>
      </c>
      <c r="R186" s="766">
        <v>13.659541310361314</v>
      </c>
      <c r="S186" s="767">
        <v>14.069327549672163</v>
      </c>
      <c r="T186" s="768">
        <v>14.491407376162352</v>
      </c>
      <c r="U186" s="769">
        <v>14.926149597447235</v>
      </c>
      <c r="V186" s="766">
        <v>15.373934085370667</v>
      </c>
    </row>
    <row r="187" spans="2:24" s="604" customFormat="1">
      <c r="B187" s="630"/>
      <c r="C187" s="604" t="s">
        <v>784</v>
      </c>
      <c r="M187" s="766">
        <v>0</v>
      </c>
      <c r="N187" s="766">
        <v>0</v>
      </c>
      <c r="O187" s="766">
        <v>0</v>
      </c>
      <c r="P187" s="766">
        <v>0</v>
      </c>
      <c r="Q187" s="766">
        <v>0</v>
      </c>
      <c r="R187" s="766">
        <v>0</v>
      </c>
      <c r="S187" s="767">
        <v>0</v>
      </c>
      <c r="T187" s="768">
        <v>0</v>
      </c>
      <c r="U187" s="769">
        <v>0</v>
      </c>
      <c r="V187" s="766">
        <v>0</v>
      </c>
    </row>
    <row r="188" spans="2:24" s="604" customFormat="1">
      <c r="B188" s="630"/>
      <c r="C188" s="604" t="s">
        <v>785</v>
      </c>
      <c r="M188" s="766">
        <v>0</v>
      </c>
      <c r="N188" s="766">
        <v>0</v>
      </c>
      <c r="O188" s="766">
        <v>0</v>
      </c>
      <c r="P188" s="766">
        <v>0</v>
      </c>
      <c r="Q188" s="766">
        <v>0</v>
      </c>
      <c r="R188" s="766">
        <v>0</v>
      </c>
      <c r="S188" s="767">
        <v>0</v>
      </c>
      <c r="T188" s="768">
        <v>0</v>
      </c>
      <c r="U188" s="769">
        <v>0</v>
      </c>
      <c r="V188" s="766">
        <v>0</v>
      </c>
    </row>
    <row r="189" spans="2:24" s="604" customFormat="1">
      <c r="B189" s="630"/>
      <c r="C189" s="604" t="s">
        <v>786</v>
      </c>
      <c r="M189" s="766">
        <v>59.544049444111806</v>
      </c>
      <c r="N189" s="766">
        <v>127.88690236636197</v>
      </c>
      <c r="O189" s="766">
        <v>64.435002767359393</v>
      </c>
      <c r="P189" s="766">
        <v>19.055875145785215</v>
      </c>
      <c r="Q189" s="766">
        <v>12.58606126186239</v>
      </c>
      <c r="R189" s="766">
        <v>15.639916257372036</v>
      </c>
      <c r="S189" s="767">
        <v>18.650532370833226</v>
      </c>
      <c r="T189" s="768">
        <v>19.2100483419587</v>
      </c>
      <c r="U189" s="769">
        <v>19.78634979221707</v>
      </c>
      <c r="V189" s="766">
        <v>20.379940285983643</v>
      </c>
    </row>
    <row r="190" spans="2:24" s="604" customFormat="1">
      <c r="B190" s="630"/>
      <c r="C190" s="604" t="s">
        <v>787</v>
      </c>
      <c r="M190" s="766">
        <v>0</v>
      </c>
      <c r="N190" s="766">
        <v>0</v>
      </c>
      <c r="O190" s="766">
        <v>0</v>
      </c>
      <c r="P190" s="766">
        <v>0</v>
      </c>
      <c r="Q190" s="766">
        <v>0</v>
      </c>
      <c r="R190" s="766">
        <v>0</v>
      </c>
      <c r="S190" s="767">
        <v>0</v>
      </c>
      <c r="T190" s="768">
        <v>0</v>
      </c>
      <c r="U190" s="769">
        <v>0</v>
      </c>
      <c r="V190" s="766">
        <v>0</v>
      </c>
    </row>
    <row r="191" spans="2:24" s="604" customFormat="1">
      <c r="B191" s="630"/>
      <c r="C191" s="604" t="s">
        <v>788</v>
      </c>
      <c r="M191" s="766">
        <v>0</v>
      </c>
      <c r="N191" s="766">
        <v>0</v>
      </c>
      <c r="O191" s="766">
        <v>0</v>
      </c>
      <c r="P191" s="766">
        <v>0</v>
      </c>
      <c r="Q191" s="766">
        <v>0</v>
      </c>
      <c r="R191" s="766">
        <v>0</v>
      </c>
      <c r="S191" s="767">
        <v>0</v>
      </c>
      <c r="T191" s="768">
        <v>0</v>
      </c>
      <c r="U191" s="769">
        <v>0</v>
      </c>
      <c r="V191" s="766">
        <v>0</v>
      </c>
    </row>
    <row r="192" spans="2:24" s="604" customFormat="1">
      <c r="B192" s="630"/>
      <c r="C192" s="603" t="s">
        <v>613</v>
      </c>
      <c r="E192" s="603"/>
      <c r="F192" s="603"/>
      <c r="G192" s="603"/>
      <c r="H192" s="603"/>
      <c r="I192" s="603"/>
      <c r="J192" s="603"/>
      <c r="K192" s="603"/>
      <c r="L192" s="603"/>
      <c r="M192" s="770">
        <v>191.25179258669726</v>
      </c>
      <c r="N192" s="770">
        <v>271.4600736372106</v>
      </c>
      <c r="O192" s="770">
        <v>264.65705525387034</v>
      </c>
      <c r="P192" s="770">
        <v>243.00777230811508</v>
      </c>
      <c r="Q192" s="770">
        <v>232.51525605188104</v>
      </c>
      <c r="R192" s="770">
        <v>233.06582320989901</v>
      </c>
      <c r="S192" s="771">
        <v>216.42657058013074</v>
      </c>
      <c r="T192" s="772">
        <v>207.5957617191124</v>
      </c>
      <c r="U192" s="773">
        <v>185.15373236668145</v>
      </c>
      <c r="V192" s="770">
        <v>163.7270311154673</v>
      </c>
    </row>
    <row r="193" spans="2:22" s="604" customFormat="1">
      <c r="B193" s="630"/>
      <c r="T193" s="636"/>
    </row>
    <row r="194" spans="2:22" s="604" customFormat="1">
      <c r="B194" s="691"/>
      <c r="C194" s="603" t="s">
        <v>789</v>
      </c>
      <c r="T194" s="636"/>
    </row>
    <row r="195" spans="2:22" s="604" customFormat="1">
      <c r="B195" s="630"/>
      <c r="C195" s="604" t="s">
        <v>781</v>
      </c>
      <c r="M195" s="766">
        <v>-1.9562452597196707</v>
      </c>
      <c r="N195" s="766">
        <v>-7.5979875374986108</v>
      </c>
      <c r="O195" s="766">
        <v>-22.149591932214221</v>
      </c>
      <c r="P195" s="766">
        <v>-34.164885059127428</v>
      </c>
      <c r="Q195" s="766">
        <v>-36.469332722500226</v>
      </c>
      <c r="R195" s="766">
        <v>-36.469332722500226</v>
      </c>
      <c r="S195" s="767">
        <v>-36.402875360959129</v>
      </c>
      <c r="T195" s="768">
        <v>-31.071124788187515</v>
      </c>
      <c r="U195" s="769">
        <v>-26.42713698993802</v>
      </c>
      <c r="V195" s="766">
        <v>-31.87394815112814</v>
      </c>
    </row>
    <row r="196" spans="2:22" s="604" customFormat="1">
      <c r="B196" s="630"/>
      <c r="C196" s="604" t="s">
        <v>782</v>
      </c>
      <c r="M196" s="766">
        <v>-1.6756395256916967</v>
      </c>
      <c r="N196" s="766">
        <v>-10.158817529880524</v>
      </c>
      <c r="O196" s="766">
        <v>-1.0382830859856531</v>
      </c>
      <c r="P196" s="766">
        <v>11.848113045634477</v>
      </c>
      <c r="Q196" s="766">
        <v>11.907324029654626</v>
      </c>
      <c r="R196" s="766">
        <v>12.356930497773762</v>
      </c>
      <c r="S196" s="767">
        <v>28.220828125293355</v>
      </c>
      <c r="T196" s="768">
        <v>27.812495039684006</v>
      </c>
      <c r="U196" s="769">
        <v>20.611917774398709</v>
      </c>
      <c r="V196" s="766">
        <v>18.173018602351078</v>
      </c>
    </row>
    <row r="197" spans="2:22" s="604" customFormat="1">
      <c r="B197" s="630"/>
      <c r="C197" s="604" t="s">
        <v>783</v>
      </c>
      <c r="M197" s="766">
        <v>-8.3604402377386684</v>
      </c>
      <c r="N197" s="766">
        <v>-9.4814813272182619</v>
      </c>
      <c r="O197" s="766">
        <v>-9.9472660052414739</v>
      </c>
      <c r="P197" s="766">
        <v>-10.277636725026321</v>
      </c>
      <c r="Q197" s="766">
        <v>-10.514918792189981</v>
      </c>
      <c r="R197" s="766">
        <v>-10.544184117951222</v>
      </c>
      <c r="S197" s="767">
        <v>0</v>
      </c>
      <c r="T197" s="768">
        <v>0</v>
      </c>
      <c r="U197" s="769">
        <v>0</v>
      </c>
      <c r="V197" s="766">
        <v>0</v>
      </c>
    </row>
    <row r="198" spans="2:22" s="604" customFormat="1">
      <c r="B198" s="630"/>
      <c r="C198" s="604" t="s">
        <v>784</v>
      </c>
      <c r="M198" s="766">
        <v>-3.113400941462011</v>
      </c>
      <c r="N198" s="766">
        <v>-4.9891226283087606</v>
      </c>
      <c r="O198" s="766">
        <v>-5.1791844427205236</v>
      </c>
      <c r="P198" s="766">
        <v>-5.2905688365384282</v>
      </c>
      <c r="Q198" s="766">
        <v>-5.3739582453513526</v>
      </c>
      <c r="R198" s="766">
        <v>-5.4747408277922478</v>
      </c>
      <c r="S198" s="767">
        <v>-5.5772977682534499</v>
      </c>
      <c r="T198" s="768">
        <v>-4.861803959002768</v>
      </c>
      <c r="U198" s="769">
        <v>-4.445256269503683</v>
      </c>
      <c r="V198" s="766">
        <v>-4.5023214861456928</v>
      </c>
    </row>
    <row r="199" spans="2:22" s="604" customFormat="1">
      <c r="B199" s="630"/>
      <c r="C199" s="604" t="s">
        <v>785</v>
      </c>
      <c r="M199" s="766">
        <v>0</v>
      </c>
      <c r="N199" s="766">
        <v>0</v>
      </c>
      <c r="O199" s="766">
        <v>0</v>
      </c>
      <c r="P199" s="766">
        <v>0</v>
      </c>
      <c r="Q199" s="766">
        <v>0</v>
      </c>
      <c r="R199" s="766">
        <v>0</v>
      </c>
      <c r="S199" s="767">
        <v>0</v>
      </c>
      <c r="T199" s="768">
        <v>0</v>
      </c>
      <c r="U199" s="769">
        <v>0</v>
      </c>
      <c r="V199" s="766">
        <v>0</v>
      </c>
    </row>
    <row r="200" spans="2:22" s="604" customFormat="1">
      <c r="B200" s="630"/>
      <c r="C200" s="604" t="s">
        <v>786</v>
      </c>
      <c r="M200" s="766">
        <v>34.593785099213726</v>
      </c>
      <c r="N200" s="766">
        <v>63.796330962186467</v>
      </c>
      <c r="O200" s="766">
        <v>26.506926244852096</v>
      </c>
      <c r="P200" s="766">
        <v>18.800773653527543</v>
      </c>
      <c r="Q200" s="766">
        <v>13.503274260171549</v>
      </c>
      <c r="R200" s="766">
        <v>15.182377084399233</v>
      </c>
      <c r="S200" s="767">
        <v>0</v>
      </c>
      <c r="T200" s="768">
        <v>0</v>
      </c>
      <c r="U200" s="769">
        <v>0</v>
      </c>
      <c r="V200" s="766">
        <v>0</v>
      </c>
    </row>
    <row r="201" spans="2:22" s="604" customFormat="1">
      <c r="B201" s="630"/>
      <c r="C201" s="604" t="s">
        <v>787</v>
      </c>
      <c r="M201" s="766">
        <v>51.666926154564642</v>
      </c>
      <c r="N201" s="766">
        <v>96.600254915410574</v>
      </c>
      <c r="O201" s="766">
        <v>43.743511659808682</v>
      </c>
      <c r="P201" s="766">
        <v>25.635578323684069</v>
      </c>
      <c r="Q201" s="766">
        <v>19.19241688817063</v>
      </c>
      <c r="R201" s="766">
        <v>23.195527643221816</v>
      </c>
      <c r="S201" s="767">
        <v>24.987542511868593</v>
      </c>
      <c r="T201" s="768">
        <v>20.087942722575296</v>
      </c>
      <c r="U201" s="769">
        <v>18.302855183502011</v>
      </c>
      <c r="V201" s="766">
        <v>17.764161154720099</v>
      </c>
    </row>
    <row r="202" spans="2:22" s="604" customFormat="1">
      <c r="B202" s="630"/>
      <c r="C202" s="604" t="s">
        <v>788</v>
      </c>
      <c r="M202" s="766">
        <v>0</v>
      </c>
      <c r="N202" s="766">
        <v>0</v>
      </c>
      <c r="O202" s="766">
        <v>0</v>
      </c>
      <c r="P202" s="766">
        <v>0</v>
      </c>
      <c r="Q202" s="766">
        <v>0</v>
      </c>
      <c r="R202" s="766">
        <v>0</v>
      </c>
      <c r="S202" s="767">
        <v>0</v>
      </c>
      <c r="T202" s="768">
        <v>0</v>
      </c>
      <c r="U202" s="769">
        <v>0</v>
      </c>
      <c r="V202" s="766">
        <v>0</v>
      </c>
    </row>
    <row r="203" spans="2:22" s="604" customFormat="1">
      <c r="B203" s="630"/>
      <c r="C203" s="603" t="s">
        <v>613</v>
      </c>
      <c r="E203" s="603"/>
      <c r="F203" s="603"/>
      <c r="G203" s="603"/>
      <c r="H203" s="603"/>
      <c r="I203" s="603"/>
      <c r="J203" s="603"/>
      <c r="K203" s="603"/>
      <c r="L203" s="603"/>
      <c r="M203" s="770">
        <v>71.154985289166319</v>
      </c>
      <c r="N203" s="770">
        <v>128.16917685469087</v>
      </c>
      <c r="O203" s="770">
        <v>31.936112438498903</v>
      </c>
      <c r="P203" s="770">
        <v>6.5513744021539146</v>
      </c>
      <c r="Q203" s="770">
        <v>-7.755194582044755</v>
      </c>
      <c r="R203" s="770">
        <v>-1.7534224428488798</v>
      </c>
      <c r="S203" s="771">
        <v>11.228197507949369</v>
      </c>
      <c r="T203" s="772">
        <v>11.96750901506902</v>
      </c>
      <c r="U203" s="773">
        <v>8.0423796984590155</v>
      </c>
      <c r="V203" s="770">
        <v>-0.43908988020265483</v>
      </c>
    </row>
    <row r="204" spans="2:22" s="604" customFormat="1">
      <c r="B204" s="630"/>
      <c r="C204" s="603"/>
      <c r="T204" s="636"/>
    </row>
    <row r="205" spans="2:22" s="604" customFormat="1">
      <c r="B205" s="691"/>
      <c r="C205" s="603" t="s">
        <v>790</v>
      </c>
      <c r="T205" s="636"/>
    </row>
    <row r="206" spans="2:22" s="604" customFormat="1">
      <c r="B206" s="630"/>
      <c r="C206" s="604" t="s">
        <v>781</v>
      </c>
      <c r="M206" s="766">
        <v>109.13198356366476</v>
      </c>
      <c r="N206" s="766">
        <v>104.81162870993798</v>
      </c>
      <c r="O206" s="766">
        <v>137.07352421674233</v>
      </c>
      <c r="P206" s="766">
        <v>143.3018379894387</v>
      </c>
      <c r="Q206" s="766">
        <v>139.69430101239499</v>
      </c>
      <c r="R206" s="766">
        <v>139.69430101239499</v>
      </c>
      <c r="S206" s="767">
        <v>139.76075837393608</v>
      </c>
      <c r="T206" s="768">
        <v>135.43828300518902</v>
      </c>
      <c r="U206" s="769">
        <v>116.64582369596513</v>
      </c>
      <c r="V206" s="766">
        <v>92.049357080283443</v>
      </c>
    </row>
    <row r="207" spans="2:22" s="604" customFormat="1">
      <c r="B207" s="630"/>
      <c r="C207" s="604" t="s">
        <v>782</v>
      </c>
      <c r="M207" s="766">
        <v>2.7159999999999407</v>
      </c>
      <c r="N207" s="766">
        <v>2.7159999999999425</v>
      </c>
      <c r="O207" s="766">
        <v>24.439409380606218</v>
      </c>
      <c r="P207" s="766">
        <v>44.845973836010877</v>
      </c>
      <c r="Q207" s="766">
        <v>42.3569812823877</v>
      </c>
      <c r="R207" s="766">
        <v>39.959662405044213</v>
      </c>
      <c r="S207" s="767">
        <v>35.763905050023496</v>
      </c>
      <c r="T207" s="768">
        <v>35.197393247298805</v>
      </c>
      <c r="U207" s="769">
        <v>27.980190065512708</v>
      </c>
      <c r="V207" s="766">
        <v>22.222870115052473</v>
      </c>
    </row>
    <row r="208" spans="2:22" s="604" customFormat="1">
      <c r="B208" s="630"/>
      <c r="C208" s="604" t="s">
        <v>783</v>
      </c>
      <c r="M208" s="766">
        <v>7.8674345557707319</v>
      </c>
      <c r="N208" s="766">
        <v>8.8072561663133442</v>
      </c>
      <c r="O208" s="766">
        <v>5.5739778657210657</v>
      </c>
      <c r="P208" s="766">
        <v>3.2096765983610052</v>
      </c>
      <c r="Q208" s="766">
        <v>2.8009850102003568</v>
      </c>
      <c r="R208" s="766">
        <v>3.1153571924100927</v>
      </c>
      <c r="S208" s="767">
        <v>14.069327549672163</v>
      </c>
      <c r="T208" s="768">
        <v>14.491407376162352</v>
      </c>
      <c r="U208" s="769">
        <v>14.926149597447235</v>
      </c>
      <c r="V208" s="766">
        <v>15.373934085370667</v>
      </c>
    </row>
    <row r="209" spans="1:31" s="604" customFormat="1">
      <c r="B209" s="630"/>
      <c r="C209" s="604" t="s">
        <v>784</v>
      </c>
      <c r="M209" s="766">
        <v>-3.113400941462011</v>
      </c>
      <c r="N209" s="766">
        <v>-4.9891226283087606</v>
      </c>
      <c r="O209" s="766">
        <v>-5.1791844427205236</v>
      </c>
      <c r="P209" s="766">
        <v>-5.2905688365384282</v>
      </c>
      <c r="Q209" s="766">
        <v>-5.3739582453513526</v>
      </c>
      <c r="R209" s="766">
        <v>-5.4747408277922478</v>
      </c>
      <c r="S209" s="767">
        <v>-5.5772977682534499</v>
      </c>
      <c r="T209" s="768">
        <v>-4.861803959002768</v>
      </c>
      <c r="U209" s="769">
        <v>-4.445256269503683</v>
      </c>
      <c r="V209" s="766">
        <v>-4.5023214861456928</v>
      </c>
    </row>
    <row r="210" spans="1:31" s="604" customFormat="1">
      <c r="B210" s="630"/>
      <c r="C210" s="604" t="s">
        <v>785</v>
      </c>
      <c r="M210" s="766">
        <v>0</v>
      </c>
      <c r="N210" s="766">
        <v>0</v>
      </c>
      <c r="O210" s="766">
        <v>0</v>
      </c>
      <c r="P210" s="766">
        <v>0</v>
      </c>
      <c r="Q210" s="766">
        <v>0</v>
      </c>
      <c r="R210" s="766">
        <v>0</v>
      </c>
      <c r="S210" s="767">
        <v>0</v>
      </c>
      <c r="T210" s="768">
        <v>0</v>
      </c>
      <c r="U210" s="769">
        <v>0</v>
      </c>
      <c r="V210" s="766">
        <v>0</v>
      </c>
    </row>
    <row r="211" spans="1:31" s="604" customFormat="1">
      <c r="B211" s="630"/>
      <c r="C211" s="604" t="s">
        <v>786</v>
      </c>
      <c r="M211" s="766">
        <v>94.137834543325539</v>
      </c>
      <c r="N211" s="766">
        <v>191.68323332854843</v>
      </c>
      <c r="O211" s="766">
        <v>90.941929012211489</v>
      </c>
      <c r="P211" s="766">
        <v>37.856648799312758</v>
      </c>
      <c r="Q211" s="766">
        <v>26.089335522033942</v>
      </c>
      <c r="R211" s="766">
        <v>30.822293341771271</v>
      </c>
      <c r="S211" s="767">
        <v>18.650532370833226</v>
      </c>
      <c r="T211" s="768">
        <v>19.2100483419587</v>
      </c>
      <c r="U211" s="769">
        <v>19.78634979221707</v>
      </c>
      <c r="V211" s="766">
        <v>20.379940285983643</v>
      </c>
    </row>
    <row r="212" spans="1:31" s="604" customFormat="1">
      <c r="B212" s="630"/>
      <c r="C212" s="604" t="s">
        <v>787</v>
      </c>
      <c r="M212" s="766">
        <v>51.666926154564642</v>
      </c>
      <c r="N212" s="766">
        <v>96.600254915410574</v>
      </c>
      <c r="O212" s="766">
        <v>43.743511659808682</v>
      </c>
      <c r="P212" s="766">
        <v>25.635578323684069</v>
      </c>
      <c r="Q212" s="766">
        <v>19.19241688817063</v>
      </c>
      <c r="R212" s="766">
        <v>23.195527643221816</v>
      </c>
      <c r="S212" s="767">
        <v>24.987542511868593</v>
      </c>
      <c r="T212" s="768">
        <v>20.087942722575296</v>
      </c>
      <c r="U212" s="769">
        <v>18.302855183502011</v>
      </c>
      <c r="V212" s="766">
        <v>17.764161154720099</v>
      </c>
    </row>
    <row r="213" spans="1:31" s="604" customFormat="1">
      <c r="B213" s="630"/>
      <c r="C213" s="604" t="s">
        <v>788</v>
      </c>
      <c r="M213" s="766">
        <v>0</v>
      </c>
      <c r="N213" s="766">
        <v>0</v>
      </c>
      <c r="O213" s="766">
        <v>0</v>
      </c>
      <c r="P213" s="766">
        <v>0</v>
      </c>
      <c r="Q213" s="766">
        <v>0</v>
      </c>
      <c r="R213" s="766">
        <v>0</v>
      </c>
      <c r="S213" s="767">
        <v>0</v>
      </c>
      <c r="T213" s="768">
        <v>0</v>
      </c>
      <c r="U213" s="769">
        <v>0</v>
      </c>
      <c r="V213" s="766">
        <v>0</v>
      </c>
    </row>
    <row r="214" spans="1:31" s="604" customFormat="1">
      <c r="B214" s="630"/>
      <c r="C214" s="603" t="s">
        <v>613</v>
      </c>
      <c r="E214" s="603"/>
      <c r="F214" s="603"/>
      <c r="G214" s="603"/>
      <c r="H214" s="603"/>
      <c r="I214" s="603"/>
      <c r="J214" s="603"/>
      <c r="K214" s="603"/>
      <c r="L214" s="603"/>
      <c r="M214" s="770">
        <v>262.40677787586361</v>
      </c>
      <c r="N214" s="770">
        <v>399.62925049190153</v>
      </c>
      <c r="O214" s="770">
        <v>296.59316769236926</v>
      </c>
      <c r="P214" s="770">
        <v>249.55914671026895</v>
      </c>
      <c r="Q214" s="770">
        <v>224.76006146983624</v>
      </c>
      <c r="R214" s="770">
        <v>231.31240076705015</v>
      </c>
      <c r="S214" s="771">
        <v>227.65476808808006</v>
      </c>
      <c r="T214" s="772">
        <v>219.5632707341814</v>
      </c>
      <c r="U214" s="773">
        <v>193.19611206514048</v>
      </c>
      <c r="V214" s="770">
        <v>163.28794123526467</v>
      </c>
    </row>
    <row r="215" spans="1:31" s="604" customFormat="1">
      <c r="B215" s="630"/>
      <c r="C215" s="630"/>
      <c r="D215" s="603"/>
      <c r="T215" s="636"/>
    </row>
    <row r="216" spans="1:31" s="697" customFormat="1" ht="15" customHeight="1">
      <c r="A216" s="692"/>
      <c r="B216" s="693" t="s">
        <v>791</v>
      </c>
      <c r="C216" s="693"/>
      <c r="D216" s="693"/>
      <c r="E216" s="693"/>
      <c r="F216" s="693"/>
      <c r="G216" s="693"/>
      <c r="H216" s="693"/>
      <c r="I216" s="693"/>
      <c r="J216" s="693"/>
      <c r="K216" s="693"/>
      <c r="L216" s="693"/>
      <c r="M216" s="693"/>
      <c r="N216" s="693"/>
      <c r="O216" s="693"/>
      <c r="P216" s="693"/>
      <c r="Q216" s="693"/>
      <c r="R216" s="693"/>
      <c r="S216" s="693"/>
      <c r="T216" s="694"/>
      <c r="U216" s="693"/>
      <c r="V216" s="693"/>
      <c r="W216" s="695"/>
      <c r="X216" s="696"/>
      <c r="Y216" s="696"/>
      <c r="Z216" s="696"/>
      <c r="AA216" s="696"/>
      <c r="AB216" s="696"/>
      <c r="AC216" s="696"/>
      <c r="AD216" s="696"/>
      <c r="AE216" s="696"/>
    </row>
    <row r="217" spans="1:31" s="604" customFormat="1"/>
    <row r="218" spans="1:31" s="604" customFormat="1"/>
  </sheetData>
  <sheetProtection insertRows="0" sort="0" autoFilter="0" pivotTables="0"/>
  <mergeCells count="2">
    <mergeCell ref="M7:Q7"/>
    <mergeCell ref="R7:V7"/>
  </mergeCells>
  <conditionalFormatting sqref="M9:U9">
    <cfRule type="expression" dxfId="55" priority="3">
      <formula>AND(M$8="Actuals",N$8="Forecast")</formula>
    </cfRule>
  </conditionalFormatting>
  <conditionalFormatting sqref="M22:V22">
    <cfRule type="expression" dxfId="54" priority="1">
      <formula>M22&lt;&gt;"OK"</formula>
    </cfRule>
  </conditionalFormatting>
  <conditionalFormatting sqref="U9">
    <cfRule type="expression" dxfId="53" priority="4">
      <formula>AND(U$5="Actuals",V$5="Forecast")</formula>
    </cfRule>
  </conditionalFormatting>
  <conditionalFormatting sqref="V9">
    <cfRule type="expression" dxfId="52" priority="8">
      <formula>AND(V$5="Actuals",#REF!="Forecast")</formula>
    </cfRule>
    <cfRule type="expression" dxfId="51"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60" zoomScaleNormal="60" workbookViewId="0">
      <selection activeCell="E19" sqref="E19"/>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3">
        <v>2024</v>
      </c>
      <c r="B3" s="554" t="s">
        <v>1246</v>
      </c>
      <c r="C3" s="335"/>
      <c r="D3" s="335"/>
      <c r="E3" s="335"/>
      <c r="F3" s="335"/>
      <c r="G3" s="335"/>
      <c r="H3" s="335"/>
      <c r="I3" s="337"/>
    </row>
    <row r="4" spans="1:23" ht="12.75" customHeight="1">
      <c r="A4" s="555"/>
      <c r="B4" s="555"/>
      <c r="C4" s="555"/>
      <c r="D4" s="555"/>
      <c r="E4" s="555"/>
      <c r="F4" s="555"/>
      <c r="G4" s="555"/>
      <c r="H4" s="555"/>
      <c r="I4" s="556"/>
    </row>
    <row r="5" spans="1:23">
      <c r="A5" s="339"/>
      <c r="B5" s="480"/>
      <c r="C5" s="480"/>
      <c r="D5" s="338" t="s">
        <v>1247</v>
      </c>
      <c r="E5" s="338" t="s">
        <v>1247</v>
      </c>
      <c r="F5" s="338" t="s">
        <v>1247</v>
      </c>
      <c r="G5" s="338" t="s">
        <v>1248</v>
      </c>
      <c r="H5" s="338" t="s">
        <v>1248</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1250</v>
      </c>
      <c r="E7" s="457" t="s">
        <v>1251</v>
      </c>
      <c r="F7" s="457" t="s">
        <v>1252</v>
      </c>
      <c r="G7" s="457" t="s">
        <v>1253</v>
      </c>
      <c r="H7" s="560" t="s">
        <v>1254</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792</v>
      </c>
      <c r="C9" s="29" t="s">
        <v>522</v>
      </c>
      <c r="D9" s="774">
        <v>-826.13110988999904</v>
      </c>
      <c r="E9" s="781">
        <v>-92</v>
      </c>
      <c r="F9" s="781">
        <v>-544</v>
      </c>
      <c r="G9" s="781">
        <v>-598</v>
      </c>
      <c r="H9" s="781">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793</v>
      </c>
      <c r="C11" s="29" t="s">
        <v>522</v>
      </c>
      <c r="D11" s="782">
        <v>-92</v>
      </c>
      <c r="E11" s="782">
        <v>-544</v>
      </c>
      <c r="F11" s="782">
        <v>-598</v>
      </c>
      <c r="G11" s="782">
        <v>-199.81253584425218</v>
      </c>
      <c r="H11" s="782">
        <v>-60</v>
      </c>
    </row>
    <row r="12" spans="1:23">
      <c r="B12" s="347" t="s">
        <v>842</v>
      </c>
      <c r="C12" s="29" t="s">
        <v>522</v>
      </c>
      <c r="D12" s="783">
        <v>0</v>
      </c>
      <c r="E12" s="783">
        <v>0</v>
      </c>
      <c r="F12" s="783">
        <v>0</v>
      </c>
      <c r="G12" s="783">
        <v>0</v>
      </c>
      <c r="H12" s="783">
        <v>0</v>
      </c>
    </row>
    <row r="13" spans="1:23">
      <c r="B13" s="347" t="s">
        <v>846</v>
      </c>
      <c r="C13" s="29" t="s">
        <v>522</v>
      </c>
      <c r="D13" s="783">
        <v>921.75888442691485</v>
      </c>
      <c r="E13" s="783">
        <v>991.7208878156041</v>
      </c>
      <c r="F13" s="783">
        <v>754.20039696012509</v>
      </c>
      <c r="G13" s="783">
        <v>550</v>
      </c>
      <c r="H13" s="783">
        <v>550</v>
      </c>
    </row>
    <row r="14" spans="1:23">
      <c r="B14" s="347" t="s">
        <v>849</v>
      </c>
      <c r="C14" s="29" t="s">
        <v>522</v>
      </c>
      <c r="D14" s="783">
        <v>0</v>
      </c>
      <c r="E14" s="783">
        <v>0</v>
      </c>
      <c r="F14" s="783">
        <v>0</v>
      </c>
      <c r="G14" s="783">
        <v>0</v>
      </c>
      <c r="H14" s="783">
        <v>0</v>
      </c>
    </row>
    <row r="15" spans="1:23">
      <c r="B15" s="347" t="s">
        <v>852</v>
      </c>
      <c r="C15" s="29" t="s">
        <v>522</v>
      </c>
      <c r="D15" s="783">
        <v>0</v>
      </c>
      <c r="E15" s="783">
        <v>0</v>
      </c>
      <c r="F15" s="783">
        <v>0</v>
      </c>
      <c r="G15" s="783">
        <v>0</v>
      </c>
      <c r="H15" s="783">
        <v>0</v>
      </c>
    </row>
    <row r="16" spans="1:23">
      <c r="B16" s="347" t="s">
        <v>855</v>
      </c>
      <c r="C16" s="29" t="s">
        <v>522</v>
      </c>
      <c r="D16" s="783">
        <v>0</v>
      </c>
      <c r="E16" s="783">
        <v>0</v>
      </c>
      <c r="F16" s="783">
        <v>0</v>
      </c>
      <c r="G16" s="783">
        <v>0</v>
      </c>
      <c r="H16" s="783">
        <v>0</v>
      </c>
    </row>
    <row r="17" spans="2:10">
      <c r="B17" s="347" t="s">
        <v>858</v>
      </c>
      <c r="C17" s="29" t="s">
        <v>522</v>
      </c>
      <c r="D17" s="783">
        <v>5744.0574474325094</v>
      </c>
      <c r="E17" s="783">
        <v>6276.6283464101834</v>
      </c>
      <c r="F17" s="783">
        <v>6918.0718850190706</v>
      </c>
      <c r="G17" s="783">
        <v>6553.4548375891245</v>
      </c>
      <c r="H17" s="783">
        <v>6566.0408988509871</v>
      </c>
    </row>
    <row r="18" spans="2:10">
      <c r="B18" s="347" t="s">
        <v>861</v>
      </c>
      <c r="C18" s="29" t="s">
        <v>522</v>
      </c>
      <c r="D18" s="783">
        <v>3235.982</v>
      </c>
      <c r="E18" s="783">
        <v>3235.982</v>
      </c>
      <c r="F18" s="783">
        <v>4209.076</v>
      </c>
      <c r="G18" s="783">
        <v>3828.5509999999995</v>
      </c>
      <c r="H18" s="783">
        <v>3828.5509999999995</v>
      </c>
    </row>
    <row r="19" spans="2:10">
      <c r="B19" s="347" t="s">
        <v>865</v>
      </c>
      <c r="C19" s="29" t="s">
        <v>522</v>
      </c>
      <c r="D19" s="783">
        <v>-3235.982</v>
      </c>
      <c r="E19" s="783">
        <v>-3235.982</v>
      </c>
      <c r="F19" s="783">
        <v>-4209.076</v>
      </c>
      <c r="G19" s="783">
        <v>-3828.5509999999995</v>
      </c>
      <c r="H19" s="783">
        <v>-3828.5509999999995</v>
      </c>
    </row>
    <row r="20" spans="2:10">
      <c r="B20" s="347" t="s">
        <v>216</v>
      </c>
      <c r="C20" s="29" t="s">
        <v>522</v>
      </c>
      <c r="D20" s="783">
        <v>0</v>
      </c>
      <c r="E20" s="783">
        <v>0</v>
      </c>
      <c r="F20" s="783">
        <v>0</v>
      </c>
      <c r="G20" s="783">
        <v>0</v>
      </c>
      <c r="H20" s="783">
        <v>0</v>
      </c>
    </row>
    <row r="21" spans="2:10">
      <c r="B21" s="429" t="s">
        <v>794</v>
      </c>
      <c r="C21" s="40" t="s">
        <v>522</v>
      </c>
      <c r="D21" s="784">
        <v>6573.8163318594234</v>
      </c>
      <c r="E21" s="784">
        <v>6724.3492342257887</v>
      </c>
      <c r="F21" s="784">
        <v>7074.272281979197</v>
      </c>
      <c r="G21" s="784">
        <v>6903.6423017448724</v>
      </c>
      <c r="H21" s="784">
        <v>7056.040898850988</v>
      </c>
      <c r="I21" s="339"/>
      <c r="J21" s="775"/>
    </row>
    <row r="22" spans="2:10">
      <c r="B22" s="429"/>
      <c r="C22" s="29"/>
      <c r="D22" s="41"/>
      <c r="E22" s="41"/>
      <c r="F22" s="41"/>
      <c r="G22" s="41"/>
      <c r="H22" s="41"/>
      <c r="I22" s="339"/>
      <c r="J22" s="339"/>
    </row>
    <row r="23" spans="2:10">
      <c r="B23" s="429" t="s">
        <v>795</v>
      </c>
      <c r="C23" s="562"/>
      <c r="D23" s="776"/>
      <c r="E23" s="776"/>
      <c r="F23" s="776"/>
      <c r="G23" s="776"/>
      <c r="H23" s="776"/>
      <c r="I23" s="339"/>
      <c r="J23" s="339"/>
    </row>
    <row r="24" spans="2:10">
      <c r="B24" s="564" t="s">
        <v>873</v>
      </c>
      <c r="C24" s="29" t="s">
        <v>522</v>
      </c>
      <c r="D24" s="785">
        <v>0</v>
      </c>
      <c r="E24" s="785">
        <v>0</v>
      </c>
      <c r="F24" s="785">
        <v>0</v>
      </c>
      <c r="G24" s="785">
        <v>0</v>
      </c>
      <c r="H24" s="785">
        <v>0</v>
      </c>
      <c r="J24" s="339"/>
    </row>
    <row r="25" spans="2:10">
      <c r="B25" s="564" t="s">
        <v>874</v>
      </c>
      <c r="C25" s="29" t="s">
        <v>522</v>
      </c>
      <c r="D25" s="785">
        <v>0</v>
      </c>
      <c r="E25" s="785">
        <v>0</v>
      </c>
      <c r="F25" s="785">
        <v>0</v>
      </c>
      <c r="G25" s="785">
        <v>0</v>
      </c>
      <c r="H25" s="785">
        <v>0</v>
      </c>
      <c r="J25" s="339"/>
    </row>
    <row r="26" spans="2:10">
      <c r="B26" s="564" t="s">
        <v>875</v>
      </c>
      <c r="C26" s="29" t="s">
        <v>522</v>
      </c>
      <c r="D26" s="785">
        <v>0</v>
      </c>
      <c r="E26" s="785">
        <v>0</v>
      </c>
      <c r="F26" s="785">
        <v>0</v>
      </c>
      <c r="G26" s="785">
        <v>0</v>
      </c>
      <c r="H26" s="785">
        <v>0</v>
      </c>
      <c r="J26" s="339"/>
    </row>
    <row r="27" spans="2:10">
      <c r="B27" s="564" t="s">
        <v>876</v>
      </c>
      <c r="C27" s="29" t="s">
        <v>522</v>
      </c>
      <c r="D27" s="785">
        <v>0</v>
      </c>
      <c r="E27" s="785">
        <v>0</v>
      </c>
      <c r="F27" s="785">
        <v>0</v>
      </c>
      <c r="G27" s="785">
        <v>0</v>
      </c>
      <c r="H27" s="785">
        <v>0</v>
      </c>
      <c r="J27" s="339"/>
    </row>
    <row r="28" spans="2:10">
      <c r="B28" s="564" t="s">
        <v>877</v>
      </c>
      <c r="C28" s="29" t="s">
        <v>522</v>
      </c>
      <c r="D28" s="785">
        <v>0</v>
      </c>
      <c r="E28" s="785">
        <v>0</v>
      </c>
      <c r="F28" s="785">
        <v>0</v>
      </c>
      <c r="G28" s="785">
        <v>0</v>
      </c>
      <c r="H28" s="785">
        <v>0</v>
      </c>
      <c r="J28" s="339"/>
    </row>
    <row r="29" spans="2:10">
      <c r="B29" s="564" t="s">
        <v>1242</v>
      </c>
      <c r="C29" s="29" t="s">
        <v>522</v>
      </c>
      <c r="D29" s="785">
        <v>126.27</v>
      </c>
      <c r="E29" s="785">
        <v>293.57299999999998</v>
      </c>
      <c r="F29" s="785">
        <v>367.62895997000004</v>
      </c>
      <c r="G29" s="785">
        <v>410.57710988605169</v>
      </c>
      <c r="H29" s="785">
        <v>445.21176663291527</v>
      </c>
      <c r="J29" s="339"/>
    </row>
    <row r="30" spans="2:10" ht="12.75" customHeight="1">
      <c r="B30" s="564" t="s">
        <v>1243</v>
      </c>
      <c r="C30" s="29" t="s">
        <v>522</v>
      </c>
      <c r="D30" s="785">
        <v>3.5</v>
      </c>
      <c r="E30" s="785">
        <v>2.75</v>
      </c>
      <c r="F30" s="785">
        <v>1.9035324566289009</v>
      </c>
      <c r="G30" s="785">
        <v>1.1117474341389915</v>
      </c>
      <c r="H30" s="785">
        <v>0.31996241164908157</v>
      </c>
      <c r="J30" s="339"/>
    </row>
    <row r="31" spans="2:10">
      <c r="B31" s="564" t="s">
        <v>1244</v>
      </c>
      <c r="C31" s="29" t="s">
        <v>522</v>
      </c>
      <c r="D31" s="785">
        <v>11.385</v>
      </c>
      <c r="E31" s="785">
        <v>11.385</v>
      </c>
      <c r="F31" s="785">
        <v>17.377841401050006</v>
      </c>
      <c r="G31" s="785">
        <v>20.752841401049949</v>
      </c>
      <c r="H31" s="785">
        <v>20.752841401049949</v>
      </c>
      <c r="J31" s="339"/>
    </row>
    <row r="32" spans="2:10">
      <c r="B32" s="564" t="s">
        <v>1245</v>
      </c>
      <c r="C32" s="29" t="s">
        <v>522</v>
      </c>
      <c r="D32" s="785">
        <v>-5500.0406665103374</v>
      </c>
      <c r="E32" s="785">
        <v>-5765.8495136020483</v>
      </c>
      <c r="F32" s="785">
        <v>-6124.851680311077</v>
      </c>
      <c r="G32" s="785">
        <v>-6027.7470030256072</v>
      </c>
      <c r="H32" s="785">
        <v>-6185.1964632075005</v>
      </c>
      <c r="J32" s="339"/>
    </row>
    <row r="33" spans="2:11">
      <c r="B33" s="564" t="s">
        <v>836</v>
      </c>
      <c r="C33" s="29" t="s">
        <v>522</v>
      </c>
      <c r="D33" s="785">
        <v>0</v>
      </c>
      <c r="E33" s="785">
        <v>0</v>
      </c>
      <c r="F33" s="785">
        <v>0</v>
      </c>
      <c r="G33" s="785">
        <v>0</v>
      </c>
      <c r="H33" s="785">
        <v>0</v>
      </c>
      <c r="J33" s="339"/>
    </row>
    <row r="34" spans="2:11">
      <c r="B34" s="564" t="s">
        <v>837</v>
      </c>
      <c r="C34" s="29" t="s">
        <v>522</v>
      </c>
      <c r="D34" s="785">
        <v>0</v>
      </c>
      <c r="E34" s="785">
        <v>0</v>
      </c>
      <c r="F34" s="785">
        <v>0</v>
      </c>
      <c r="G34" s="785">
        <v>0</v>
      </c>
      <c r="H34" s="785">
        <v>0</v>
      </c>
      <c r="J34" s="339"/>
    </row>
    <row r="35" spans="2:11">
      <c r="B35" s="564" t="s">
        <v>838</v>
      </c>
      <c r="C35" s="29" t="s">
        <v>522</v>
      </c>
      <c r="D35" s="785">
        <v>0</v>
      </c>
      <c r="E35" s="785">
        <v>0</v>
      </c>
      <c r="F35" s="785">
        <v>0</v>
      </c>
      <c r="G35" s="785">
        <v>0</v>
      </c>
      <c r="H35" s="785">
        <v>0</v>
      </c>
      <c r="J35" s="339"/>
      <c r="K35" s="777"/>
    </row>
    <row r="36" spans="2:11">
      <c r="B36" s="564" t="s">
        <v>807</v>
      </c>
      <c r="C36" s="29" t="s">
        <v>522</v>
      </c>
      <c r="D36" s="785">
        <v>0</v>
      </c>
      <c r="E36" s="785">
        <v>0</v>
      </c>
      <c r="F36" s="785">
        <v>0</v>
      </c>
      <c r="G36" s="785">
        <v>0</v>
      </c>
      <c r="H36" s="785">
        <v>0</v>
      </c>
    </row>
    <row r="37" spans="2:11">
      <c r="B37" s="564" t="s">
        <v>808</v>
      </c>
      <c r="C37" s="29" t="s">
        <v>522</v>
      </c>
      <c r="D37" s="785">
        <v>0</v>
      </c>
      <c r="E37" s="785">
        <v>0</v>
      </c>
      <c r="F37" s="785">
        <v>0</v>
      </c>
      <c r="G37" s="785">
        <v>0</v>
      </c>
      <c r="H37" s="785">
        <v>0</v>
      </c>
    </row>
    <row r="38" spans="2:11">
      <c r="B38" s="564" t="s">
        <v>809</v>
      </c>
      <c r="C38" s="29" t="s">
        <v>522</v>
      </c>
      <c r="D38" s="785">
        <v>0</v>
      </c>
      <c r="E38" s="785">
        <v>0</v>
      </c>
      <c r="F38" s="785">
        <v>0</v>
      </c>
      <c r="G38" s="785">
        <v>0</v>
      </c>
      <c r="H38" s="785">
        <v>0</v>
      </c>
    </row>
    <row r="39" spans="2:11">
      <c r="B39" s="564" t="s">
        <v>878</v>
      </c>
      <c r="C39" s="29" t="s">
        <v>522</v>
      </c>
      <c r="D39" s="785">
        <v>0</v>
      </c>
      <c r="E39" s="785">
        <v>0</v>
      </c>
      <c r="F39" s="785">
        <v>0</v>
      </c>
      <c r="G39" s="785">
        <v>0</v>
      </c>
      <c r="H39" s="785">
        <v>0</v>
      </c>
    </row>
    <row r="40" spans="2:11">
      <c r="B40" s="565" t="s">
        <v>796</v>
      </c>
      <c r="C40" s="29" t="s">
        <v>522</v>
      </c>
      <c r="D40" s="85">
        <v>1214.9306653490867</v>
      </c>
      <c r="E40" s="85">
        <v>1266.2077206237409</v>
      </c>
      <c r="F40" s="85">
        <v>1336.3309354957992</v>
      </c>
      <c r="G40" s="85">
        <v>1308.3369974405059</v>
      </c>
      <c r="H40" s="85">
        <v>1337.1290060891015</v>
      </c>
    </row>
    <row r="41" spans="2:11">
      <c r="B41" s="566" t="s">
        <v>797</v>
      </c>
      <c r="C41" s="29" t="s">
        <v>522</v>
      </c>
      <c r="D41" s="413"/>
      <c r="E41" s="778"/>
      <c r="F41" s="778"/>
      <c r="G41" s="774">
        <v>97.910140007829909</v>
      </c>
      <c r="H41" s="774">
        <v>124.25056308334388</v>
      </c>
    </row>
    <row r="42" spans="2:11">
      <c r="B42" s="565" t="s">
        <v>798</v>
      </c>
      <c r="C42" s="29" t="s">
        <v>522</v>
      </c>
      <c r="D42" s="18">
        <v>1214.9306653490867</v>
      </c>
      <c r="E42" s="19">
        <v>1266.2077206237409</v>
      </c>
      <c r="F42" s="19">
        <v>1336.3309354957992</v>
      </c>
      <c r="G42" s="19">
        <v>1406.2471374483357</v>
      </c>
      <c r="H42" s="19">
        <v>1461.3795691724454</v>
      </c>
    </row>
    <row r="43" spans="2:11">
      <c r="D43" s="590" t="s">
        <v>1255</v>
      </c>
      <c r="E43" s="590" t="s">
        <v>1255</v>
      </c>
      <c r="F43" s="590" t="s">
        <v>1255</v>
      </c>
      <c r="G43" s="590" t="s">
        <v>1255</v>
      </c>
      <c r="H43" s="590" t="s">
        <v>1255</v>
      </c>
    </row>
    <row r="44" spans="2:11"/>
    <row r="45" spans="2:11">
      <c r="B45" s="779" t="s">
        <v>799</v>
      </c>
      <c r="C45" s="29" t="s">
        <v>522</v>
      </c>
      <c r="D45" s="774">
        <v>1161.1603747519341</v>
      </c>
      <c r="E45" s="19">
        <v>1214.9306653490867</v>
      </c>
      <c r="F45" s="19">
        <v>1266.2077206237409</v>
      </c>
      <c r="G45" s="19">
        <v>1336.3309354957992</v>
      </c>
      <c r="H45" s="19">
        <v>1406.2471374483357</v>
      </c>
      <c r="I45" s="136"/>
    </row>
    <row r="46" spans="2:11">
      <c r="B46" s="779" t="s">
        <v>800</v>
      </c>
      <c r="C46" s="29" t="s">
        <v>522</v>
      </c>
      <c r="D46" s="787">
        <v>1214.9306653490867</v>
      </c>
      <c r="E46" s="786">
        <v>1266.2077206237409</v>
      </c>
      <c r="F46" s="786">
        <v>1336.3309354957992</v>
      </c>
      <c r="G46" s="786">
        <v>1406.2471374483357</v>
      </c>
      <c r="H46" s="786">
        <v>1461.3795691724454</v>
      </c>
      <c r="I46" s="136"/>
    </row>
    <row r="47" spans="2:11">
      <c r="D47" s="780"/>
      <c r="E47" s="780"/>
      <c r="F47" s="780"/>
      <c r="G47" s="780"/>
      <c r="H47" s="780"/>
    </row>
    <row r="48" spans="2:11">
      <c r="B48" s="429" t="s">
        <v>801</v>
      </c>
      <c r="D48" s="780"/>
      <c r="E48" s="780"/>
      <c r="F48" s="780"/>
      <c r="G48" s="780"/>
      <c r="H48" s="780"/>
    </row>
    <row r="49" spans="2:10">
      <c r="B49" s="564" t="s">
        <v>802</v>
      </c>
      <c r="C49" s="29" t="s">
        <v>522</v>
      </c>
      <c r="D49" s="774">
        <v>49.200687109776375</v>
      </c>
      <c r="E49" s="774">
        <v>57.542505347571762</v>
      </c>
      <c r="F49" s="774">
        <v>-447.18734939690631</v>
      </c>
      <c r="G49" s="774">
        <v>47.63474778956202</v>
      </c>
      <c r="H49" s="774">
        <v>47.274380451286959</v>
      </c>
    </row>
    <row r="50" spans="2:10">
      <c r="B50" s="564" t="s">
        <v>803</v>
      </c>
      <c r="C50" s="29" t="s">
        <v>522</v>
      </c>
      <c r="D50" s="774">
        <v>7.6017643427786021</v>
      </c>
      <c r="E50" s="774">
        <v>8.3276488227632459</v>
      </c>
      <c r="F50" s="774">
        <v>11.655682307399351</v>
      </c>
      <c r="G50" s="774">
        <v>12.681674329295397</v>
      </c>
      <c r="H50" s="774">
        <v>13.262007267594063</v>
      </c>
    </row>
    <row r="51" spans="2:10">
      <c r="B51" s="564" t="s">
        <v>804</v>
      </c>
      <c r="C51" s="29" t="s">
        <v>522</v>
      </c>
      <c r="D51" s="774">
        <v>15.577964905387367</v>
      </c>
      <c r="E51" s="774">
        <v>-12.042288346034985</v>
      </c>
      <c r="F51" s="774">
        <v>-16.857196216894071</v>
      </c>
      <c r="G51" s="774">
        <v>0</v>
      </c>
      <c r="H51" s="774">
        <v>0</v>
      </c>
    </row>
    <row r="52" spans="2:10">
      <c r="B52" s="564" t="s">
        <v>805</v>
      </c>
      <c r="C52" s="29" t="s">
        <v>522</v>
      </c>
      <c r="D52" s="774">
        <v>6.9139102808212405</v>
      </c>
      <c r="E52" s="774">
        <v>-3.585022148783688</v>
      </c>
      <c r="F52" s="774">
        <v>3.2432480879484524</v>
      </c>
      <c r="G52" s="774">
        <v>0</v>
      </c>
      <c r="H52" s="774">
        <v>0</v>
      </c>
    </row>
    <row r="53" spans="2:10">
      <c r="B53" s="564" t="s">
        <v>806</v>
      </c>
      <c r="C53" s="29" t="s">
        <v>522</v>
      </c>
      <c r="D53" s="774">
        <v>13.744800789351386</v>
      </c>
      <c r="E53" s="774">
        <v>17.150924881897627</v>
      </c>
      <c r="F53" s="774">
        <v>21.151601706764502</v>
      </c>
      <c r="G53" s="774">
        <v>20.383343685363965</v>
      </c>
      <c r="H53" s="774">
        <v>22.491304840634704</v>
      </c>
    </row>
    <row r="54" spans="2:10">
      <c r="B54" s="564" t="s">
        <v>1240</v>
      </c>
      <c r="C54" s="29" t="s">
        <v>522</v>
      </c>
      <c r="D54" s="774">
        <v>-2.7577260613051422</v>
      </c>
      <c r="E54" s="774">
        <v>-2.9677389402376009</v>
      </c>
      <c r="F54" s="774">
        <v>-2.7349418881346246</v>
      </c>
      <c r="G54" s="774">
        <v>-2.2086032916055438</v>
      </c>
      <c r="H54" s="774">
        <v>-1.9258371374849799</v>
      </c>
    </row>
    <row r="55" spans="2:10">
      <c r="B55" s="564" t="s">
        <v>1241</v>
      </c>
      <c r="C55" s="29" t="s">
        <v>522</v>
      </c>
      <c r="D55" s="774">
        <v>5908.7482521438942</v>
      </c>
      <c r="E55" s="774">
        <v>6059.2222244780487</v>
      </c>
      <c r="F55" s="774">
        <v>4150.6767988020692</v>
      </c>
      <c r="G55" s="774">
        <v>6840.4599544116527</v>
      </c>
      <c r="H55" s="774">
        <v>7135.1011073117588</v>
      </c>
    </row>
    <row r="56" spans="2:10">
      <c r="B56" s="564" t="s">
        <v>807</v>
      </c>
      <c r="C56" s="29" t="s">
        <v>522</v>
      </c>
      <c r="D56" s="774">
        <v>0</v>
      </c>
      <c r="E56" s="774">
        <v>0</v>
      </c>
      <c r="F56" s="774">
        <v>0</v>
      </c>
      <c r="G56" s="774">
        <v>0</v>
      </c>
      <c r="H56" s="774">
        <v>0</v>
      </c>
    </row>
    <row r="57" spans="2:10">
      <c r="B57" s="564" t="s">
        <v>808</v>
      </c>
      <c r="C57" s="29" t="s">
        <v>522</v>
      </c>
      <c r="D57" s="774">
        <v>0</v>
      </c>
      <c r="E57" s="774">
        <v>0</v>
      </c>
      <c r="F57" s="774">
        <v>0</v>
      </c>
      <c r="G57" s="774">
        <v>0</v>
      </c>
      <c r="H57" s="774">
        <v>0</v>
      </c>
    </row>
    <row r="58" spans="2:10">
      <c r="B58" s="564" t="s">
        <v>809</v>
      </c>
      <c r="C58" s="29" t="s">
        <v>522</v>
      </c>
      <c r="D58" s="774">
        <v>0</v>
      </c>
      <c r="E58" s="774">
        <v>0</v>
      </c>
      <c r="F58" s="774">
        <v>0</v>
      </c>
      <c r="G58" s="774">
        <v>0</v>
      </c>
      <c r="H58" s="774">
        <v>0</v>
      </c>
    </row>
    <row r="59" spans="2:10">
      <c r="B59" s="564" t="s">
        <v>810</v>
      </c>
      <c r="C59" s="29" t="s">
        <v>522</v>
      </c>
      <c r="D59" s="18">
        <v>7213.9603188597903</v>
      </c>
      <c r="E59" s="18">
        <v>7389.8559747189656</v>
      </c>
      <c r="F59" s="18">
        <v>5056.2787788980459</v>
      </c>
      <c r="G59" s="18">
        <v>8325.1982543726044</v>
      </c>
      <c r="H59" s="18">
        <v>8677.5825319062351</v>
      </c>
    </row>
    <row r="60" spans="2:10">
      <c r="D60" s="780"/>
      <c r="E60" s="780"/>
      <c r="F60" s="780"/>
      <c r="G60" s="780"/>
      <c r="H60" s="780"/>
    </row>
    <row r="61" spans="2:10">
      <c r="B61" s="429" t="s">
        <v>811</v>
      </c>
    </row>
    <row r="62" spans="2:10">
      <c r="B62" s="114" t="s">
        <v>812</v>
      </c>
      <c r="C62" s="136" t="s">
        <v>486</v>
      </c>
      <c r="D62" s="788">
        <v>0</v>
      </c>
      <c r="E62" s="788">
        <v>0</v>
      </c>
      <c r="F62" s="788">
        <v>0</v>
      </c>
      <c r="G62" s="788">
        <v>0</v>
      </c>
      <c r="H62" s="788">
        <v>0</v>
      </c>
    </row>
    <row r="63" spans="2:10">
      <c r="B63" s="114" t="s">
        <v>743</v>
      </c>
      <c r="C63" s="136" t="s">
        <v>486</v>
      </c>
      <c r="D63" s="789">
        <v>1</v>
      </c>
      <c r="E63" s="790">
        <v>1</v>
      </c>
      <c r="F63" s="790">
        <v>1</v>
      </c>
      <c r="G63" s="790">
        <v>1</v>
      </c>
      <c r="H63" s="790">
        <v>1</v>
      </c>
      <c r="J63" s="777"/>
    </row>
    <row r="64" spans="2:10">
      <c r="C64" s="136"/>
      <c r="D64" s="136"/>
      <c r="E64" s="136"/>
      <c r="F64" s="136"/>
      <c r="G64" s="136"/>
      <c r="H64" s="136"/>
      <c r="I64" s="136"/>
    </row>
    <row r="65" spans="2:8">
      <c r="B65" s="114" t="s">
        <v>813</v>
      </c>
      <c r="C65" s="29" t="s">
        <v>522</v>
      </c>
      <c r="D65" s="791">
        <v>1188.0455200505103</v>
      </c>
      <c r="E65" s="792">
        <v>1240.5691929864138</v>
      </c>
      <c r="F65" s="792">
        <v>1301.26932805977</v>
      </c>
      <c r="G65" s="792">
        <v>1371.2890364720674</v>
      </c>
      <c r="H65" s="792">
        <v>1433.8133533103905</v>
      </c>
    </row>
    <row r="66" spans="2:8">
      <c r="B66" s="114" t="s">
        <v>814</v>
      </c>
      <c r="C66" s="29" t="s">
        <v>522</v>
      </c>
      <c r="D66" s="793">
        <v>728.23949356488129</v>
      </c>
      <c r="E66" s="794">
        <v>841.37745318980797</v>
      </c>
      <c r="F66" s="794">
        <v>910.84839048703589</v>
      </c>
      <c r="G66" s="794">
        <v>907.72130430350489</v>
      </c>
      <c r="H66" s="794">
        <v>893.86050651205733</v>
      </c>
    </row>
    <row r="67" spans="2:8">
      <c r="B67" s="114" t="s">
        <v>815</v>
      </c>
      <c r="C67" s="29" t="s">
        <v>522</v>
      </c>
      <c r="D67" s="795">
        <v>1916.2850136153916</v>
      </c>
      <c r="E67" s="795">
        <v>2081.9466461762217</v>
      </c>
      <c r="F67" s="795">
        <v>2212.1177185468059</v>
      </c>
      <c r="G67" s="795">
        <v>2279.0103407755723</v>
      </c>
      <c r="H67" s="795">
        <v>2327.6738598224479</v>
      </c>
    </row>
    <row r="68" spans="2:8">
      <c r="B68" s="114" t="s">
        <v>816</v>
      </c>
      <c r="C68" s="29" t="s">
        <v>486</v>
      </c>
      <c r="D68" s="796">
        <v>0.61997328769433102</v>
      </c>
      <c r="E68" s="797">
        <v>0.59586982945258848</v>
      </c>
      <c r="F68" s="797">
        <v>0.58824596772119597</v>
      </c>
      <c r="G68" s="797">
        <v>0.60170373601964555</v>
      </c>
      <c r="H68" s="797">
        <v>0.61598550297753485</v>
      </c>
    </row>
    <row r="69" spans="2:8">
      <c r="B69" s="114" t="s">
        <v>24</v>
      </c>
      <c r="C69" s="29" t="s">
        <v>486</v>
      </c>
      <c r="D69" s="798">
        <v>0.6</v>
      </c>
      <c r="E69" s="799">
        <v>0.6</v>
      </c>
      <c r="F69" s="799">
        <v>0.6</v>
      </c>
      <c r="G69" s="799">
        <v>0.6</v>
      </c>
      <c r="H69" s="799">
        <v>0.6</v>
      </c>
    </row>
    <row r="70" spans="2:8">
      <c r="B70" s="114" t="s">
        <v>817</v>
      </c>
      <c r="C70" s="29" t="s">
        <v>486</v>
      </c>
      <c r="D70" s="800">
        <v>1.9973287694331043E-2</v>
      </c>
      <c r="E70" s="801">
        <v>-4.1301705474114936E-3</v>
      </c>
      <c r="F70" s="801">
        <v>-1.1754032278804005E-2</v>
      </c>
      <c r="G70" s="801">
        <v>1.7037360196455742E-3</v>
      </c>
      <c r="H70" s="801">
        <v>1.5985502977534871E-2</v>
      </c>
    </row>
    <row r="71" spans="2:8"/>
    <row r="72" spans="2:8">
      <c r="B72" s="114" t="s">
        <v>818</v>
      </c>
      <c r="C72" s="468" t="s">
        <v>23</v>
      </c>
      <c r="D72" s="802">
        <v>1072.3261812947551</v>
      </c>
      <c r="E72" s="803">
        <v>1039.4004679429454</v>
      </c>
      <c r="F72" s="803">
        <v>1030.0783630866631</v>
      </c>
      <c r="G72" s="803">
        <v>1058.5502730889405</v>
      </c>
      <c r="H72" s="803">
        <v>1089.2538404146412</v>
      </c>
    </row>
    <row r="73" spans="2:8">
      <c r="B73" s="114" t="s">
        <v>819</v>
      </c>
      <c r="C73" s="468" t="s">
        <v>23</v>
      </c>
      <c r="D73" s="804">
        <v>657.30669576470007</v>
      </c>
      <c r="E73" s="805">
        <v>704.94102506034699</v>
      </c>
      <c r="F73" s="805">
        <v>721.02308020427881</v>
      </c>
      <c r="G73" s="805">
        <v>700.70467202972998</v>
      </c>
      <c r="H73" s="805">
        <v>679.05699669018361</v>
      </c>
    </row>
    <row r="74" spans="2:8">
      <c r="B74" s="114" t="s">
        <v>820</v>
      </c>
      <c r="C74" s="468" t="s">
        <v>23</v>
      </c>
      <c r="D74" s="795">
        <v>1729.632877059455</v>
      </c>
      <c r="E74" s="795">
        <v>1744.3414930032923</v>
      </c>
      <c r="F74" s="795">
        <v>1751.1014432909419</v>
      </c>
      <c r="G74" s="795">
        <v>1759.2549451186705</v>
      </c>
      <c r="H74" s="795">
        <v>1768.3108371048247</v>
      </c>
    </row>
    <row r="75" spans="2:8">
      <c r="B75" s="114" t="s">
        <v>816</v>
      </c>
      <c r="C75" s="29" t="s">
        <v>486</v>
      </c>
      <c r="D75" s="796">
        <v>0.61997328769433102</v>
      </c>
      <c r="E75" s="797">
        <v>0.59586982945258848</v>
      </c>
      <c r="F75" s="797">
        <v>0.58824596772119597</v>
      </c>
      <c r="G75" s="797">
        <v>0.60170373601964544</v>
      </c>
      <c r="H75" s="797">
        <v>0.61598550297753485</v>
      </c>
    </row>
    <row r="76" spans="2:8">
      <c r="B76" s="114" t="s">
        <v>24</v>
      </c>
      <c r="C76" s="29" t="s">
        <v>486</v>
      </c>
      <c r="D76" s="798">
        <v>0.6</v>
      </c>
      <c r="E76" s="799">
        <v>0.6</v>
      </c>
      <c r="F76" s="799">
        <v>0.6</v>
      </c>
      <c r="G76" s="799">
        <v>0.6</v>
      </c>
      <c r="H76" s="799">
        <v>0.6</v>
      </c>
    </row>
    <row r="77" spans="2:8">
      <c r="B77" s="114" t="s">
        <v>817</v>
      </c>
      <c r="C77" s="29" t="s">
        <v>486</v>
      </c>
      <c r="D77" s="800">
        <v>1.9973287694331043E-2</v>
      </c>
      <c r="E77" s="801">
        <v>-4.1301705474114936E-3</v>
      </c>
      <c r="F77" s="801">
        <v>-1.1754032278804005E-2</v>
      </c>
      <c r="G77" s="801">
        <v>1.7037360196454632E-3</v>
      </c>
      <c r="H77" s="801">
        <v>1.5985502977534871E-2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50" priority="2">
      <formula>D$5="Forecast"</formula>
    </cfRule>
    <cfRule type="expression" dxfId="49" priority="3">
      <formula>C$12="N/A"</formula>
    </cfRule>
  </conditionalFormatting>
  <conditionalFormatting sqref="D41:F41">
    <cfRule type="expression" dxfId="48"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50" zoomScaleNormal="50" workbookViewId="0">
      <selection activeCell="E19" sqref="E19"/>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6"/>
      <c r="J1" s="1116"/>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17">
        <v>2024</v>
      </c>
      <c r="B3" s="1118"/>
      <c r="C3" s="1118"/>
      <c r="D3" s="1118"/>
      <c r="E3" s="1118"/>
      <c r="F3" s="1118"/>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19"/>
      <c r="B4" s="1120"/>
      <c r="C4" s="1120"/>
      <c r="D4" s="1121"/>
      <c r="E4" s="1121"/>
      <c r="F4" s="1119"/>
      <c r="G4" s="1119"/>
      <c r="H4" s="1119"/>
      <c r="I4" s="1119"/>
      <c r="J4" s="1122"/>
      <c r="K4" s="1122"/>
      <c r="L4" s="1122"/>
      <c r="M4" s="1122"/>
      <c r="N4" s="1122"/>
      <c r="O4" s="1122"/>
      <c r="P4" s="1122"/>
      <c r="Q4" s="1122"/>
      <c r="R4" s="1123"/>
      <c r="S4" s="1123"/>
      <c r="T4" s="1123"/>
      <c r="U4" s="1123"/>
      <c r="V4" s="1123"/>
      <c r="W4" s="1123"/>
      <c r="X4" s="1121"/>
      <c r="Y4" s="1123"/>
      <c r="Z4" s="1121"/>
      <c r="AA4" s="1121"/>
      <c r="AB4" s="1121"/>
      <c r="AC4" s="1121"/>
      <c r="AD4" s="1121"/>
      <c r="AE4" s="1121"/>
      <c r="AF4" s="1121"/>
      <c r="AG4" s="1121"/>
      <c r="AH4" s="1121"/>
      <c r="AI4" s="1121"/>
      <c r="AJ4" s="1121"/>
      <c r="AK4" s="1121"/>
      <c r="AL4" s="1121"/>
      <c r="AM4" s="1121"/>
      <c r="AN4" s="1121"/>
      <c r="AO4" s="1121"/>
      <c r="AP4" s="1121"/>
    </row>
    <row r="5" spans="1:42" ht="16">
      <c r="A5" s="1119"/>
      <c r="B5" s="1124" t="s">
        <v>821</v>
      </c>
      <c r="C5" s="1124"/>
      <c r="D5" s="1125"/>
      <c r="E5" s="1125"/>
      <c r="F5" s="1125"/>
      <c r="G5" s="1125"/>
      <c r="H5" s="1125"/>
      <c r="I5" s="1125"/>
      <c r="J5" s="1125"/>
      <c r="K5" s="1125"/>
      <c r="L5" s="1125"/>
      <c r="M5" s="1125"/>
      <c r="N5" s="1125"/>
      <c r="O5" s="1125"/>
      <c r="P5" s="1125"/>
      <c r="Q5" s="1125"/>
      <c r="R5" s="1126"/>
      <c r="S5" s="1126"/>
      <c r="T5" s="1125" t="s">
        <v>822</v>
      </c>
      <c r="U5" s="1125"/>
      <c r="V5" s="1125"/>
      <c r="W5" s="1125"/>
      <c r="X5" s="1125"/>
      <c r="Y5" s="1125"/>
      <c r="Z5" s="1125"/>
      <c r="AA5" s="1125"/>
      <c r="AB5" s="1125"/>
      <c r="AC5" s="1125"/>
      <c r="AD5" s="1125"/>
      <c r="AE5" s="1125"/>
      <c r="AF5" s="1125"/>
      <c r="AG5" s="1125"/>
      <c r="AH5" s="1125"/>
      <c r="AI5" s="1125"/>
      <c r="AJ5" s="1125"/>
      <c r="AK5" s="1125"/>
      <c r="AL5" s="1125"/>
      <c r="AM5" s="1125"/>
      <c r="AN5" s="1125"/>
      <c r="AO5" s="1125"/>
      <c r="AP5" s="1125"/>
    </row>
    <row r="6" spans="1:42" ht="16">
      <c r="A6" s="1127"/>
      <c r="B6" s="1128"/>
      <c r="C6" s="1128"/>
      <c r="D6" s="1126"/>
      <c r="E6" s="1126"/>
      <c r="F6" s="1126"/>
      <c r="G6" s="1126"/>
      <c r="H6" s="1126"/>
      <c r="I6" s="1126"/>
      <c r="J6" s="1126"/>
      <c r="K6" s="1126"/>
      <c r="L6" s="1126"/>
      <c r="M6" s="1126"/>
      <c r="N6" s="1126"/>
      <c r="O6" s="1126"/>
      <c r="P6" s="1126"/>
      <c r="Q6" s="1126"/>
      <c r="R6" s="1126"/>
      <c r="S6" s="1126"/>
      <c r="T6" s="1126"/>
      <c r="U6" s="1126"/>
      <c r="V6" s="1126"/>
      <c r="W6" s="1126"/>
      <c r="X6" s="1126"/>
      <c r="Y6" s="1126"/>
      <c r="Z6" s="1126"/>
      <c r="AA6" s="1126"/>
      <c r="AB6" s="1126"/>
      <c r="AC6" s="1126"/>
      <c r="AD6" s="1126"/>
      <c r="AE6" s="1126"/>
      <c r="AF6" s="1126"/>
      <c r="AG6" s="1126"/>
      <c r="AH6" s="1126"/>
      <c r="AI6" s="1126"/>
      <c r="AJ6" s="1126"/>
      <c r="AK6" s="1126"/>
      <c r="AL6" s="1126"/>
      <c r="AM6" s="1126"/>
      <c r="AN6" s="1127"/>
      <c r="AO6" s="1127"/>
      <c r="AP6" s="1127"/>
    </row>
    <row r="7" spans="1:42" ht="16">
      <c r="A7" s="1127"/>
      <c r="B7" s="1119" t="s">
        <v>522</v>
      </c>
      <c r="C7" s="1119"/>
      <c r="D7" s="1126"/>
      <c r="E7" s="1126"/>
      <c r="F7" s="1126"/>
      <c r="G7" s="1126"/>
      <c r="H7" s="1126"/>
      <c r="I7" s="1126"/>
      <c r="J7" s="1126"/>
      <c r="K7" s="1126"/>
      <c r="L7" s="1126"/>
      <c r="M7" s="1126"/>
      <c r="N7" s="1126"/>
      <c r="O7" s="1126"/>
      <c r="P7" s="1126"/>
      <c r="Q7" s="1126"/>
      <c r="R7" s="1126"/>
      <c r="S7" s="1123"/>
      <c r="T7" s="1361" t="s">
        <v>702</v>
      </c>
      <c r="U7" s="1362"/>
      <c r="V7" s="1362"/>
      <c r="W7" s="1362"/>
      <c r="X7" s="1363"/>
      <c r="Y7" s="1364" t="s">
        <v>703</v>
      </c>
      <c r="Z7" s="1365"/>
      <c r="AA7" s="1365"/>
      <c r="AB7" s="1365"/>
      <c r="AC7" s="1366"/>
      <c r="AD7" s="1126"/>
      <c r="AE7" s="1126"/>
      <c r="AF7" s="1126"/>
      <c r="AG7" s="1126"/>
      <c r="AH7" s="1126"/>
      <c r="AI7" s="1126"/>
      <c r="AJ7" s="1126"/>
      <c r="AK7" s="1126"/>
      <c r="AL7" s="1126"/>
      <c r="AM7" s="1126"/>
      <c r="AN7" s="1127"/>
      <c r="AO7" s="1127"/>
      <c r="AP7" s="1127"/>
    </row>
    <row r="8" spans="1:42">
      <c r="A8" s="823"/>
      <c r="B8" s="1129"/>
      <c r="C8" s="1129"/>
      <c r="D8" s="1130"/>
      <c r="E8" s="1130"/>
      <c r="F8" s="823"/>
      <c r="G8" s="823"/>
      <c r="H8" s="823"/>
      <c r="I8" s="823"/>
      <c r="J8" s="823"/>
      <c r="K8" s="823"/>
      <c r="L8" s="823"/>
      <c r="M8" s="823"/>
      <c r="N8" s="823"/>
      <c r="O8" s="823"/>
      <c r="P8" s="823"/>
      <c r="Q8" s="823"/>
      <c r="R8" s="823"/>
      <c r="S8" s="823"/>
      <c r="T8" s="1131" t="s">
        <v>1247</v>
      </c>
      <c r="U8" s="1132" t="s">
        <v>1247</v>
      </c>
      <c r="V8" s="1132" t="s">
        <v>1247</v>
      </c>
      <c r="W8" s="1132" t="s">
        <v>1248</v>
      </c>
      <c r="X8" s="1132" t="s">
        <v>1248</v>
      </c>
      <c r="Y8" s="1132" t="s">
        <v>1248</v>
      </c>
      <c r="Z8" s="1132" t="s">
        <v>1248</v>
      </c>
      <c r="AA8" s="1132" t="s">
        <v>1248</v>
      </c>
      <c r="AB8" s="1133" t="s">
        <v>1248</v>
      </c>
      <c r="AC8" s="1134" t="s">
        <v>1248</v>
      </c>
      <c r="AD8" s="823"/>
      <c r="AE8" s="823"/>
      <c r="AF8" s="823"/>
      <c r="AG8" s="823"/>
      <c r="AH8" s="823"/>
      <c r="AI8" s="823"/>
      <c r="AJ8" s="823"/>
      <c r="AK8" s="823"/>
      <c r="AL8" s="823"/>
      <c r="AM8" s="823"/>
      <c r="AN8" s="823"/>
      <c r="AO8" s="823"/>
      <c r="AP8" s="823"/>
    </row>
    <row r="9" spans="1:42">
      <c r="A9" s="823"/>
      <c r="B9" s="1135"/>
      <c r="C9" s="1135"/>
      <c r="D9" s="1130"/>
      <c r="E9" s="1130"/>
      <c r="F9" s="823" t="s">
        <v>704</v>
      </c>
      <c r="G9" s="823"/>
      <c r="H9" s="823"/>
      <c r="I9" s="823"/>
      <c r="J9" s="823"/>
      <c r="K9" s="823"/>
      <c r="L9" s="823"/>
      <c r="M9" s="823"/>
      <c r="N9" s="823"/>
      <c r="O9" s="1136">
        <v>0</v>
      </c>
      <c r="P9" s="823"/>
      <c r="Q9" s="823"/>
      <c r="R9" s="823"/>
      <c r="S9" s="1137" t="s">
        <v>705</v>
      </c>
      <c r="T9" s="24">
        <v>2022</v>
      </c>
      <c r="U9" s="25">
        <v>2023</v>
      </c>
      <c r="V9" s="25">
        <v>2024</v>
      </c>
      <c r="W9" s="25">
        <v>2025</v>
      </c>
      <c r="X9" s="25">
        <v>2026</v>
      </c>
      <c r="Y9" s="25">
        <v>2027</v>
      </c>
      <c r="Z9" s="25">
        <v>2028</v>
      </c>
      <c r="AA9" s="1138">
        <v>2029</v>
      </c>
      <c r="AB9" s="1139">
        <v>2030</v>
      </c>
      <c r="AC9" s="1140">
        <v>2031</v>
      </c>
      <c r="AD9" s="823"/>
      <c r="AE9" s="823"/>
      <c r="AF9" s="823"/>
      <c r="AG9" s="823"/>
      <c r="AH9" s="823"/>
      <c r="AI9" s="823"/>
      <c r="AJ9" s="823"/>
      <c r="AK9" s="823"/>
      <c r="AL9" s="823"/>
      <c r="AM9" s="823"/>
      <c r="AN9" s="823"/>
      <c r="AO9" s="823"/>
      <c r="AP9" s="823"/>
    </row>
    <row r="10" spans="1:42">
      <c r="A10" s="823"/>
      <c r="B10" s="1135"/>
      <c r="C10" s="1135"/>
      <c r="D10" s="823"/>
      <c r="E10" s="823"/>
      <c r="F10" s="823"/>
      <c r="G10" s="823"/>
      <c r="H10" s="823"/>
      <c r="I10" s="823"/>
      <c r="J10" s="823"/>
      <c r="K10" s="823"/>
      <c r="L10" s="823"/>
      <c r="M10" s="823"/>
      <c r="N10" s="823"/>
      <c r="O10" s="823"/>
      <c r="P10" s="823"/>
      <c r="Q10" s="823"/>
      <c r="R10" s="823"/>
      <c r="S10" s="823" t="s">
        <v>823</v>
      </c>
      <c r="T10" s="1141">
        <v>44287</v>
      </c>
      <c r="U10" s="1141">
        <v>44652</v>
      </c>
      <c r="V10" s="1141">
        <v>45017</v>
      </c>
      <c r="W10" s="1141">
        <v>45383</v>
      </c>
      <c r="X10" s="1141">
        <v>45748</v>
      </c>
      <c r="Y10" s="1141">
        <v>46113</v>
      </c>
      <c r="Z10" s="1141">
        <v>46478</v>
      </c>
      <c r="AA10" s="1141">
        <v>46844</v>
      </c>
      <c r="AB10" s="1141">
        <v>47209</v>
      </c>
      <c r="AC10" s="1141">
        <v>47574</v>
      </c>
      <c r="AD10" s="823"/>
      <c r="AE10" s="823"/>
      <c r="AF10" s="823"/>
      <c r="AG10" s="823"/>
      <c r="AH10" s="823"/>
      <c r="AI10" s="823"/>
      <c r="AJ10" s="823"/>
      <c r="AK10" s="823"/>
      <c r="AL10" s="823"/>
      <c r="AM10" s="823"/>
      <c r="AN10" s="823"/>
      <c r="AO10" s="823"/>
      <c r="AP10" s="823"/>
    </row>
    <row r="11" spans="1:42">
      <c r="A11" s="823"/>
      <c r="B11" s="823"/>
      <c r="C11" s="823"/>
      <c r="D11" s="823"/>
      <c r="E11" s="823"/>
      <c r="F11" s="823"/>
      <c r="G11" s="823"/>
      <c r="H11" s="823"/>
      <c r="I11" s="823"/>
      <c r="J11" s="823"/>
      <c r="K11" s="823"/>
      <c r="L11" s="823"/>
      <c r="M11" s="823"/>
      <c r="N11" s="823"/>
      <c r="O11" s="823"/>
      <c r="P11" s="823"/>
      <c r="Q11" s="823"/>
      <c r="R11" s="823"/>
      <c r="S11" s="823" t="s">
        <v>35</v>
      </c>
      <c r="T11" s="1141">
        <v>44651</v>
      </c>
      <c r="U11" s="1141">
        <v>45016</v>
      </c>
      <c r="V11" s="1141">
        <v>45382</v>
      </c>
      <c r="W11" s="1141">
        <v>45747</v>
      </c>
      <c r="X11" s="1141">
        <v>46112</v>
      </c>
      <c r="Y11" s="1141">
        <v>46477</v>
      </c>
      <c r="Z11" s="1141">
        <v>46843</v>
      </c>
      <c r="AA11" s="1141">
        <v>47208</v>
      </c>
      <c r="AB11" s="1141">
        <v>47573</v>
      </c>
      <c r="AC11" s="1141">
        <v>47938</v>
      </c>
      <c r="AD11" s="823"/>
      <c r="AE11" s="823"/>
      <c r="AF11" s="823"/>
      <c r="AG11" s="823"/>
      <c r="AH11" s="823"/>
      <c r="AI11" s="823"/>
      <c r="AJ11" s="823"/>
      <c r="AK11" s="823"/>
      <c r="AL11" s="823"/>
      <c r="AM11" s="823"/>
      <c r="AN11" s="823"/>
      <c r="AO11" s="823"/>
      <c r="AP11" s="823"/>
    </row>
    <row r="12" spans="1:42">
      <c r="A12" s="823"/>
      <c r="B12" s="1142" t="s">
        <v>824</v>
      </c>
      <c r="C12" s="1142"/>
      <c r="D12" s="1130" t="s">
        <v>825</v>
      </c>
      <c r="E12" s="1130"/>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3"/>
      <c r="AO12" s="823"/>
      <c r="AP12" s="823"/>
    </row>
    <row r="13" spans="1:42" outlineLevel="1">
      <c r="A13" s="823"/>
      <c r="B13" s="1135"/>
      <c r="C13" s="1135"/>
      <c r="D13" s="823"/>
      <c r="E13" s="823"/>
      <c r="F13" s="1143"/>
      <c r="G13" s="1143"/>
      <c r="H13" s="1143"/>
      <c r="I13" s="1143"/>
      <c r="J13" s="823"/>
      <c r="K13" s="823"/>
      <c r="L13" s="823"/>
      <c r="M13" s="823"/>
      <c r="N13" s="823"/>
      <c r="O13" s="823"/>
      <c r="P13" s="823"/>
      <c r="Q13" s="823"/>
      <c r="R13" s="823"/>
      <c r="S13" s="823"/>
      <c r="T13" s="1144" t="s">
        <v>711</v>
      </c>
      <c r="U13" s="1145" t="s">
        <v>711</v>
      </c>
      <c r="V13" s="1145" t="s">
        <v>711</v>
      </c>
      <c r="W13" s="1145" t="s">
        <v>711</v>
      </c>
      <c r="X13" s="1145" t="s">
        <v>711</v>
      </c>
      <c r="Y13" s="1145" t="s">
        <v>711</v>
      </c>
      <c r="Z13" s="1145" t="s">
        <v>711</v>
      </c>
      <c r="AA13" s="1146" t="s">
        <v>711</v>
      </c>
      <c r="AB13" s="1147" t="s">
        <v>711</v>
      </c>
      <c r="AC13" s="1145" t="s">
        <v>711</v>
      </c>
      <c r="AD13" s="823"/>
      <c r="AE13" s="823"/>
      <c r="AF13" s="823"/>
      <c r="AG13" s="823"/>
      <c r="AH13" s="823"/>
      <c r="AI13" s="823"/>
      <c r="AJ13" s="823"/>
      <c r="AK13" s="823"/>
      <c r="AL13" s="823"/>
      <c r="AM13" s="823"/>
      <c r="AN13" s="823"/>
      <c r="AO13" s="823"/>
      <c r="AP13" s="823"/>
    </row>
    <row r="14" spans="1:42" outlineLevel="1">
      <c r="A14" s="823"/>
      <c r="B14" s="1135"/>
      <c r="C14" s="1135"/>
      <c r="D14" s="823"/>
      <c r="E14" s="823"/>
      <c r="F14" s="823" t="s">
        <v>826</v>
      </c>
      <c r="G14" s="823"/>
      <c r="H14" s="823"/>
      <c r="I14" s="823"/>
      <c r="J14" s="823"/>
      <c r="K14" s="823"/>
      <c r="L14" s="823"/>
      <c r="M14" s="823"/>
      <c r="N14" s="823"/>
      <c r="O14" s="823"/>
      <c r="P14" s="823"/>
      <c r="Q14" s="823"/>
      <c r="R14" s="823"/>
      <c r="S14" s="823"/>
      <c r="T14" s="90">
        <v>-13</v>
      </c>
      <c r="U14" s="90">
        <v>-21</v>
      </c>
      <c r="V14" s="90">
        <v>-29</v>
      </c>
      <c r="W14" s="90">
        <v>-199.81253584425218</v>
      </c>
      <c r="X14" s="90">
        <v>-60</v>
      </c>
      <c r="Y14" s="90">
        <v>-60</v>
      </c>
      <c r="Z14" s="90">
        <v>-60</v>
      </c>
      <c r="AA14" s="90">
        <v>-60</v>
      </c>
      <c r="AB14" s="90">
        <v>-60</v>
      </c>
      <c r="AC14" s="90">
        <v>-60</v>
      </c>
      <c r="AD14" s="823"/>
      <c r="AE14" s="823"/>
      <c r="AF14" s="823"/>
      <c r="AG14" s="823"/>
      <c r="AH14" s="823"/>
      <c r="AI14" s="823"/>
      <c r="AJ14" s="823"/>
      <c r="AK14" s="823"/>
      <c r="AL14" s="823"/>
      <c r="AM14" s="823"/>
      <c r="AN14" s="823"/>
      <c r="AO14" s="823"/>
      <c r="AP14" s="823"/>
    </row>
    <row r="15" spans="1:42" outlineLevel="1">
      <c r="A15" s="823"/>
      <c r="B15" s="1135"/>
      <c r="C15" s="1135"/>
      <c r="D15" s="823"/>
      <c r="E15" s="823"/>
      <c r="F15" s="823" t="s">
        <v>827</v>
      </c>
      <c r="G15" s="823"/>
      <c r="H15" s="823"/>
      <c r="I15" s="823"/>
      <c r="J15" s="823"/>
      <c r="K15" s="823"/>
      <c r="L15" s="823"/>
      <c r="M15" s="823"/>
      <c r="N15" s="823"/>
      <c r="O15" s="823"/>
      <c r="P15" s="823"/>
      <c r="Q15" s="823"/>
      <c r="R15" s="823"/>
      <c r="S15" s="823"/>
      <c r="T15" s="90">
        <v>0</v>
      </c>
      <c r="U15" s="90">
        <v>0</v>
      </c>
      <c r="V15" s="90">
        <v>0</v>
      </c>
      <c r="W15" s="90">
        <v>0</v>
      </c>
      <c r="X15" s="90">
        <v>0</v>
      </c>
      <c r="Y15" s="90">
        <v>0</v>
      </c>
      <c r="Z15" s="90">
        <v>0</v>
      </c>
      <c r="AA15" s="90">
        <v>0</v>
      </c>
      <c r="AB15" s="90">
        <v>0</v>
      </c>
      <c r="AC15" s="90">
        <v>0</v>
      </c>
      <c r="AD15" s="823"/>
      <c r="AE15" s="823"/>
      <c r="AF15" s="823"/>
      <c r="AG15" s="823"/>
      <c r="AH15" s="823"/>
      <c r="AI15" s="823"/>
      <c r="AJ15" s="823"/>
      <c r="AK15" s="823"/>
      <c r="AL15" s="823"/>
      <c r="AM15" s="823"/>
      <c r="AN15" s="823"/>
      <c r="AO15" s="823"/>
      <c r="AP15" s="823"/>
    </row>
    <row r="16" spans="1:42" outlineLevel="1">
      <c r="A16" s="823"/>
      <c r="B16" s="1135"/>
      <c r="C16" s="1135"/>
      <c r="D16" s="823"/>
      <c r="E16" s="823"/>
      <c r="F16" s="823" t="s">
        <v>828</v>
      </c>
      <c r="G16" s="823"/>
      <c r="H16" s="823"/>
      <c r="I16" s="823"/>
      <c r="J16" s="823"/>
      <c r="K16" s="823"/>
      <c r="L16" s="823"/>
      <c r="M16" s="823"/>
      <c r="N16" s="823"/>
      <c r="O16" s="823"/>
      <c r="P16" s="823"/>
      <c r="Q16" s="823"/>
      <c r="R16" s="823"/>
      <c r="S16" s="823"/>
      <c r="T16" s="90">
        <v>-80</v>
      </c>
      <c r="U16" s="90">
        <v>-523</v>
      </c>
      <c r="V16" s="90">
        <v>-569</v>
      </c>
      <c r="W16" s="90">
        <v>0</v>
      </c>
      <c r="X16" s="90">
        <v>0</v>
      </c>
      <c r="Y16" s="90">
        <v>0</v>
      </c>
      <c r="Z16" s="90">
        <v>0</v>
      </c>
      <c r="AA16" s="90">
        <v>0</v>
      </c>
      <c r="AB16" s="90">
        <v>0</v>
      </c>
      <c r="AC16" s="90">
        <v>0</v>
      </c>
      <c r="AD16" s="823"/>
      <c r="AE16" s="823"/>
      <c r="AF16" s="823"/>
      <c r="AG16" s="823"/>
      <c r="AH16" s="823"/>
      <c r="AI16" s="823"/>
      <c r="AJ16" s="823"/>
      <c r="AK16" s="823"/>
      <c r="AL16" s="823"/>
      <c r="AM16" s="823"/>
      <c r="AN16" s="823"/>
      <c r="AO16" s="823"/>
      <c r="AP16" s="823"/>
    </row>
    <row r="17" spans="1:42" outlineLevel="1">
      <c r="A17" s="823"/>
      <c r="B17" s="1135"/>
      <c r="C17" s="1135"/>
      <c r="D17" s="823"/>
      <c r="E17" s="823"/>
      <c r="F17" s="823" t="s">
        <v>829</v>
      </c>
      <c r="G17" s="823"/>
      <c r="H17" s="823"/>
      <c r="I17" s="823"/>
      <c r="J17" s="823"/>
      <c r="K17" s="823"/>
      <c r="L17" s="823"/>
      <c r="M17" s="823"/>
      <c r="N17" s="823"/>
      <c r="O17" s="823"/>
      <c r="P17" s="823"/>
      <c r="Q17" s="823"/>
      <c r="R17" s="823"/>
      <c r="S17" s="823"/>
      <c r="T17" s="90">
        <v>1</v>
      </c>
      <c r="U17" s="90">
        <v>0</v>
      </c>
      <c r="V17" s="90">
        <v>0</v>
      </c>
      <c r="W17" s="90">
        <v>0</v>
      </c>
      <c r="X17" s="90">
        <v>0</v>
      </c>
      <c r="Y17" s="90">
        <v>0</v>
      </c>
      <c r="Z17" s="90">
        <v>0</v>
      </c>
      <c r="AA17" s="90">
        <v>0</v>
      </c>
      <c r="AB17" s="90">
        <v>0</v>
      </c>
      <c r="AC17" s="90">
        <v>0</v>
      </c>
      <c r="AD17" s="823"/>
      <c r="AE17" s="823"/>
      <c r="AF17" s="823"/>
      <c r="AG17" s="823"/>
      <c r="AH17" s="823"/>
      <c r="AI17" s="823"/>
      <c r="AJ17" s="823"/>
      <c r="AK17" s="823"/>
      <c r="AL17" s="823"/>
      <c r="AM17" s="823"/>
      <c r="AN17" s="823"/>
      <c r="AO17" s="823"/>
      <c r="AP17" s="823"/>
    </row>
    <row r="18" spans="1:42" outlineLevel="1">
      <c r="A18" s="823"/>
      <c r="B18" s="1135"/>
      <c r="C18" s="1135"/>
      <c r="D18" s="823"/>
      <c r="E18" s="823"/>
      <c r="F18" s="823" t="s">
        <v>830</v>
      </c>
      <c r="G18" s="823"/>
      <c r="H18" s="823"/>
      <c r="I18" s="823"/>
      <c r="J18" s="823"/>
      <c r="K18" s="823"/>
      <c r="L18" s="823"/>
      <c r="M18" s="823"/>
      <c r="N18" s="823"/>
      <c r="O18" s="823"/>
      <c r="P18" s="823"/>
      <c r="Q18" s="823"/>
      <c r="R18" s="823"/>
      <c r="S18" s="823"/>
      <c r="T18" s="90">
        <v>0</v>
      </c>
      <c r="U18" s="90">
        <v>0</v>
      </c>
      <c r="V18" s="90">
        <v>0</v>
      </c>
      <c r="W18" s="90">
        <v>0</v>
      </c>
      <c r="X18" s="90">
        <v>0</v>
      </c>
      <c r="Y18" s="90">
        <v>0</v>
      </c>
      <c r="Z18" s="90">
        <v>0</v>
      </c>
      <c r="AA18" s="90">
        <v>0</v>
      </c>
      <c r="AB18" s="90">
        <v>0</v>
      </c>
      <c r="AC18" s="90">
        <v>0</v>
      </c>
      <c r="AD18" s="823"/>
      <c r="AE18" s="823"/>
      <c r="AF18" s="823"/>
      <c r="AG18" s="823"/>
      <c r="AH18" s="823"/>
      <c r="AI18" s="823"/>
      <c r="AJ18" s="823"/>
      <c r="AK18" s="823"/>
      <c r="AL18" s="823"/>
      <c r="AM18" s="823"/>
      <c r="AN18" s="823"/>
      <c r="AO18" s="823"/>
      <c r="AP18" s="823"/>
    </row>
    <row r="19" spans="1:42" outlineLevel="1">
      <c r="A19" s="823"/>
      <c r="B19" s="1135"/>
      <c r="C19" s="1135"/>
      <c r="D19" s="823"/>
      <c r="E19" s="823"/>
      <c r="F19" s="823" t="s">
        <v>831</v>
      </c>
      <c r="G19" s="823"/>
      <c r="H19" s="823"/>
      <c r="I19" s="823"/>
      <c r="J19" s="823"/>
      <c r="K19" s="823"/>
      <c r="L19" s="823"/>
      <c r="M19" s="823"/>
      <c r="N19" s="823"/>
      <c r="O19" s="823"/>
      <c r="P19" s="823"/>
      <c r="Q19" s="823"/>
      <c r="R19" s="823"/>
      <c r="S19" s="823"/>
      <c r="T19" s="90">
        <v>0</v>
      </c>
      <c r="U19" s="90">
        <v>0</v>
      </c>
      <c r="V19" s="90">
        <v>0</v>
      </c>
      <c r="W19" s="90">
        <v>0</v>
      </c>
      <c r="X19" s="90">
        <v>0</v>
      </c>
      <c r="Y19" s="90">
        <v>0</v>
      </c>
      <c r="Z19" s="90">
        <v>0</v>
      </c>
      <c r="AA19" s="90">
        <v>0</v>
      </c>
      <c r="AB19" s="90">
        <v>0</v>
      </c>
      <c r="AC19" s="90">
        <v>0</v>
      </c>
      <c r="AD19" s="823"/>
      <c r="AE19" s="823"/>
      <c r="AF19" s="823"/>
      <c r="AG19" s="823"/>
      <c r="AH19" s="823"/>
      <c r="AI19" s="823"/>
      <c r="AJ19" s="823"/>
      <c r="AK19" s="823"/>
      <c r="AL19" s="823"/>
      <c r="AM19" s="823"/>
      <c r="AN19" s="823"/>
      <c r="AO19" s="823"/>
      <c r="AP19" s="823"/>
    </row>
    <row r="20" spans="1:42" ht="12.75" customHeight="1" outlineLevel="1">
      <c r="A20" s="823"/>
      <c r="B20" s="1135"/>
      <c r="C20" s="1135"/>
      <c r="D20" s="823"/>
      <c r="E20" s="823"/>
      <c r="F20" s="1163" t="s">
        <v>832</v>
      </c>
      <c r="G20" s="1164"/>
      <c r="H20" s="1165"/>
      <c r="I20" s="1165"/>
      <c r="J20" s="1166"/>
      <c r="K20" s="1148"/>
      <c r="L20" s="1148"/>
      <c r="M20" s="1148"/>
      <c r="N20" s="1148"/>
      <c r="O20" s="1148"/>
      <c r="P20" s="823"/>
      <c r="Q20" s="1148"/>
      <c r="R20" s="1148"/>
      <c r="S20" s="1148"/>
      <c r="T20" s="90">
        <v>0</v>
      </c>
      <c r="U20" s="90">
        <v>0</v>
      </c>
      <c r="V20" s="90">
        <v>0</v>
      </c>
      <c r="W20" s="90">
        <v>0</v>
      </c>
      <c r="X20" s="90">
        <v>0</v>
      </c>
      <c r="Y20" s="90">
        <v>0</v>
      </c>
      <c r="Z20" s="90">
        <v>0</v>
      </c>
      <c r="AA20" s="90">
        <v>0</v>
      </c>
      <c r="AB20" s="90">
        <v>0</v>
      </c>
      <c r="AC20" s="90">
        <v>0</v>
      </c>
      <c r="AD20" s="823"/>
      <c r="AE20" s="823"/>
      <c r="AF20" s="823"/>
      <c r="AG20" s="823"/>
      <c r="AH20" s="823"/>
      <c r="AI20" s="823"/>
      <c r="AJ20" s="823"/>
      <c r="AK20" s="823"/>
      <c r="AL20" s="823"/>
      <c r="AM20" s="823"/>
      <c r="AN20" s="823"/>
      <c r="AO20" s="823"/>
      <c r="AP20" s="823"/>
    </row>
    <row r="21" spans="1:42" ht="12.75" customHeight="1" outlineLevel="1">
      <c r="A21" s="823"/>
      <c r="B21" s="1135"/>
      <c r="C21" s="1135"/>
      <c r="D21" s="823"/>
      <c r="E21" s="823"/>
      <c r="F21" s="1163" t="s">
        <v>833</v>
      </c>
      <c r="G21" s="1164"/>
      <c r="H21" s="1165"/>
      <c r="I21" s="1165"/>
      <c r="J21" s="1166"/>
      <c r="K21" s="1148"/>
      <c r="L21" s="1148"/>
      <c r="M21" s="1148"/>
      <c r="N21" s="1148"/>
      <c r="O21" s="1148"/>
      <c r="P21" s="823"/>
      <c r="Q21" s="1148"/>
      <c r="R21" s="1148"/>
      <c r="S21" s="1148"/>
      <c r="T21" s="90">
        <v>0</v>
      </c>
      <c r="U21" s="90">
        <v>0</v>
      </c>
      <c r="V21" s="90">
        <v>0</v>
      </c>
      <c r="W21" s="90">
        <v>0</v>
      </c>
      <c r="X21" s="90">
        <v>0</v>
      </c>
      <c r="Y21" s="90">
        <v>0</v>
      </c>
      <c r="Z21" s="90">
        <v>0</v>
      </c>
      <c r="AA21" s="90">
        <v>0</v>
      </c>
      <c r="AB21" s="90">
        <v>0</v>
      </c>
      <c r="AC21" s="90">
        <v>0</v>
      </c>
      <c r="AD21" s="823"/>
      <c r="AE21" s="823"/>
      <c r="AF21" s="823"/>
      <c r="AG21" s="823"/>
      <c r="AH21" s="823"/>
      <c r="AI21" s="823"/>
      <c r="AJ21" s="823"/>
      <c r="AK21" s="823"/>
      <c r="AL21" s="823"/>
      <c r="AM21" s="823"/>
      <c r="AN21" s="823"/>
      <c r="AO21" s="823"/>
      <c r="AP21" s="823"/>
    </row>
    <row r="22" spans="1:42" ht="12.75" customHeight="1" outlineLevel="1">
      <c r="A22" s="823"/>
      <c r="B22" s="1135"/>
      <c r="C22" s="1135"/>
      <c r="D22" s="823"/>
      <c r="E22" s="823"/>
      <c r="F22" s="1163" t="s">
        <v>834</v>
      </c>
      <c r="G22" s="1164"/>
      <c r="H22" s="1165"/>
      <c r="I22" s="1165"/>
      <c r="J22" s="1166"/>
      <c r="K22" s="1148"/>
      <c r="L22" s="1148"/>
      <c r="M22" s="1148"/>
      <c r="N22" s="1148"/>
      <c r="O22" s="1148"/>
      <c r="P22" s="823"/>
      <c r="Q22" s="1148"/>
      <c r="R22" s="1148"/>
      <c r="S22" s="1148"/>
      <c r="T22" s="90">
        <v>0</v>
      </c>
      <c r="U22" s="90">
        <v>0</v>
      </c>
      <c r="V22" s="90">
        <v>0</v>
      </c>
      <c r="W22" s="90">
        <v>0</v>
      </c>
      <c r="X22" s="90">
        <v>0</v>
      </c>
      <c r="Y22" s="90">
        <v>0</v>
      </c>
      <c r="Z22" s="90">
        <v>0</v>
      </c>
      <c r="AA22" s="90">
        <v>0</v>
      </c>
      <c r="AB22" s="90">
        <v>0</v>
      </c>
      <c r="AC22" s="90">
        <v>0</v>
      </c>
      <c r="AD22" s="823"/>
      <c r="AE22" s="823"/>
      <c r="AF22" s="823"/>
      <c r="AG22" s="823"/>
      <c r="AH22" s="823"/>
      <c r="AI22" s="823"/>
      <c r="AJ22" s="823"/>
      <c r="AK22" s="823"/>
      <c r="AL22" s="823"/>
      <c r="AM22" s="823"/>
      <c r="AN22" s="823"/>
      <c r="AO22" s="823"/>
      <c r="AP22" s="823"/>
    </row>
    <row r="23" spans="1:42" ht="12.75" customHeight="1" outlineLevel="1">
      <c r="A23" s="823"/>
      <c r="B23" s="1135"/>
      <c r="C23" s="1135"/>
      <c r="D23" s="823"/>
      <c r="E23" s="823"/>
      <c r="F23" s="1163" t="s">
        <v>835</v>
      </c>
      <c r="G23" s="1164"/>
      <c r="H23" s="1165"/>
      <c r="I23" s="1165"/>
      <c r="J23" s="1166"/>
      <c r="K23" s="1148"/>
      <c r="L23" s="1148"/>
      <c r="M23" s="1148"/>
      <c r="N23" s="1148"/>
      <c r="O23" s="1148"/>
      <c r="P23" s="823"/>
      <c r="Q23" s="1148"/>
      <c r="R23" s="1148"/>
      <c r="S23" s="1148"/>
      <c r="T23" s="90">
        <v>0</v>
      </c>
      <c r="U23" s="90">
        <v>0</v>
      </c>
      <c r="V23" s="90">
        <v>0</v>
      </c>
      <c r="W23" s="90">
        <v>0</v>
      </c>
      <c r="X23" s="90">
        <v>0</v>
      </c>
      <c r="Y23" s="90">
        <v>0</v>
      </c>
      <c r="Z23" s="90">
        <v>0</v>
      </c>
      <c r="AA23" s="90">
        <v>0</v>
      </c>
      <c r="AB23" s="90">
        <v>0</v>
      </c>
      <c r="AC23" s="90">
        <v>0</v>
      </c>
      <c r="AD23" s="823"/>
      <c r="AE23" s="823"/>
      <c r="AF23" s="823"/>
      <c r="AG23" s="823"/>
      <c r="AH23" s="823"/>
      <c r="AI23" s="823"/>
      <c r="AJ23" s="823"/>
      <c r="AK23" s="823"/>
      <c r="AL23" s="823"/>
      <c r="AM23" s="823"/>
      <c r="AN23" s="823"/>
      <c r="AO23" s="823"/>
      <c r="AP23" s="823"/>
    </row>
    <row r="24" spans="1:42" ht="12.75" customHeight="1" outlineLevel="1">
      <c r="A24" s="823"/>
      <c r="B24" s="1135"/>
      <c r="C24" s="1135"/>
      <c r="D24" s="823"/>
      <c r="E24" s="823"/>
      <c r="F24" s="1163" t="s">
        <v>836</v>
      </c>
      <c r="G24" s="1164"/>
      <c r="H24" s="1165"/>
      <c r="I24" s="1165"/>
      <c r="J24" s="1166"/>
      <c r="K24" s="1148"/>
      <c r="L24" s="1148"/>
      <c r="M24" s="1148"/>
      <c r="N24" s="1148"/>
      <c r="O24" s="1148"/>
      <c r="P24" s="823"/>
      <c r="Q24" s="1148"/>
      <c r="R24" s="1148"/>
      <c r="S24" s="1148"/>
      <c r="T24" s="90">
        <v>0</v>
      </c>
      <c r="U24" s="90">
        <v>0</v>
      </c>
      <c r="V24" s="90">
        <v>0</v>
      </c>
      <c r="W24" s="90">
        <v>0</v>
      </c>
      <c r="X24" s="90">
        <v>0</v>
      </c>
      <c r="Y24" s="90">
        <v>0</v>
      </c>
      <c r="Z24" s="90">
        <v>0</v>
      </c>
      <c r="AA24" s="90">
        <v>0</v>
      </c>
      <c r="AB24" s="90">
        <v>0</v>
      </c>
      <c r="AC24" s="90">
        <v>0</v>
      </c>
      <c r="AD24" s="823"/>
      <c r="AE24" s="823"/>
      <c r="AF24" s="823"/>
      <c r="AG24" s="823"/>
      <c r="AH24" s="823"/>
      <c r="AI24" s="823"/>
      <c r="AJ24" s="823"/>
      <c r="AK24" s="823"/>
      <c r="AL24" s="823"/>
      <c r="AM24" s="823"/>
      <c r="AN24" s="823"/>
      <c r="AO24" s="823"/>
      <c r="AP24" s="823"/>
    </row>
    <row r="25" spans="1:42" ht="12.75" customHeight="1" outlineLevel="1">
      <c r="A25" s="823"/>
      <c r="B25" s="1135"/>
      <c r="C25" s="1135"/>
      <c r="D25" s="823"/>
      <c r="E25" s="823"/>
      <c r="F25" s="1163" t="s">
        <v>837</v>
      </c>
      <c r="G25" s="1164"/>
      <c r="H25" s="1165"/>
      <c r="I25" s="1165"/>
      <c r="J25" s="1166"/>
      <c r="K25" s="1148"/>
      <c r="L25" s="1148"/>
      <c r="M25" s="1148"/>
      <c r="N25" s="1148"/>
      <c r="O25" s="1148"/>
      <c r="P25" s="823"/>
      <c r="Q25" s="1148"/>
      <c r="R25" s="1148"/>
      <c r="S25" s="1148"/>
      <c r="T25" s="90">
        <v>0</v>
      </c>
      <c r="U25" s="90">
        <v>0</v>
      </c>
      <c r="V25" s="90">
        <v>0</v>
      </c>
      <c r="W25" s="90">
        <v>0</v>
      </c>
      <c r="X25" s="90">
        <v>0</v>
      </c>
      <c r="Y25" s="90">
        <v>0</v>
      </c>
      <c r="Z25" s="90">
        <v>0</v>
      </c>
      <c r="AA25" s="90">
        <v>0</v>
      </c>
      <c r="AB25" s="90">
        <v>0</v>
      </c>
      <c r="AC25" s="90">
        <v>0</v>
      </c>
      <c r="AD25" s="823"/>
      <c r="AE25" s="823"/>
      <c r="AF25" s="823"/>
      <c r="AG25" s="823"/>
      <c r="AH25" s="823"/>
      <c r="AI25" s="823"/>
      <c r="AJ25" s="823"/>
      <c r="AK25" s="823"/>
      <c r="AL25" s="823"/>
      <c r="AM25" s="823"/>
      <c r="AN25" s="823"/>
      <c r="AO25" s="823"/>
      <c r="AP25" s="823"/>
    </row>
    <row r="26" spans="1:42" ht="12.75" customHeight="1" outlineLevel="1">
      <c r="A26" s="823"/>
      <c r="B26" s="1135"/>
      <c r="C26" s="1135"/>
      <c r="D26" s="823"/>
      <c r="E26" s="823"/>
      <c r="F26" s="1163" t="s">
        <v>838</v>
      </c>
      <c r="G26" s="1164"/>
      <c r="H26" s="1165"/>
      <c r="I26" s="1165"/>
      <c r="J26" s="1166"/>
      <c r="K26" s="1148"/>
      <c r="L26" s="1148"/>
      <c r="M26" s="1148"/>
      <c r="N26" s="1148"/>
      <c r="O26" s="1148"/>
      <c r="P26" s="823"/>
      <c r="Q26" s="1148"/>
      <c r="R26" s="1148"/>
      <c r="S26" s="1148"/>
      <c r="T26" s="90">
        <v>0</v>
      </c>
      <c r="U26" s="90">
        <v>0</v>
      </c>
      <c r="V26" s="90">
        <v>0</v>
      </c>
      <c r="W26" s="90">
        <v>0</v>
      </c>
      <c r="X26" s="90">
        <v>0</v>
      </c>
      <c r="Y26" s="90">
        <v>0</v>
      </c>
      <c r="Z26" s="90">
        <v>0</v>
      </c>
      <c r="AA26" s="90">
        <v>0</v>
      </c>
      <c r="AB26" s="90">
        <v>0</v>
      </c>
      <c r="AC26" s="90">
        <v>0</v>
      </c>
      <c r="AD26" s="823"/>
      <c r="AE26" s="823"/>
      <c r="AF26" s="823"/>
      <c r="AG26" s="823"/>
      <c r="AH26" s="823"/>
      <c r="AI26" s="823"/>
      <c r="AJ26" s="823"/>
      <c r="AK26" s="823"/>
      <c r="AL26" s="823"/>
      <c r="AM26" s="823"/>
      <c r="AN26" s="823"/>
      <c r="AO26" s="823"/>
      <c r="AP26" s="823"/>
    </row>
    <row r="27" spans="1:42" ht="12.75" customHeight="1" outlineLevel="1">
      <c r="A27" s="823"/>
      <c r="B27" s="1135"/>
      <c r="C27" s="1135"/>
      <c r="D27" s="823"/>
      <c r="E27" s="823"/>
      <c r="F27" s="1163" t="s">
        <v>807</v>
      </c>
      <c r="G27" s="1164"/>
      <c r="H27" s="1165"/>
      <c r="I27" s="1165"/>
      <c r="J27" s="1166"/>
      <c r="K27" s="1148"/>
      <c r="L27" s="1148"/>
      <c r="M27" s="1148"/>
      <c r="N27" s="1148"/>
      <c r="O27" s="1148"/>
      <c r="P27" s="823"/>
      <c r="Q27" s="1148"/>
      <c r="R27" s="1148"/>
      <c r="S27" s="1148"/>
      <c r="T27" s="90">
        <v>0</v>
      </c>
      <c r="U27" s="90">
        <v>0</v>
      </c>
      <c r="V27" s="90">
        <v>0</v>
      </c>
      <c r="W27" s="90">
        <v>0</v>
      </c>
      <c r="X27" s="90">
        <v>0</v>
      </c>
      <c r="Y27" s="90">
        <v>0</v>
      </c>
      <c r="Z27" s="90">
        <v>0</v>
      </c>
      <c r="AA27" s="90">
        <v>0</v>
      </c>
      <c r="AB27" s="90">
        <v>0</v>
      </c>
      <c r="AC27" s="90">
        <v>0</v>
      </c>
      <c r="AD27" s="823"/>
      <c r="AE27" s="823"/>
      <c r="AF27" s="823"/>
      <c r="AG27" s="823"/>
      <c r="AH27" s="823"/>
      <c r="AI27" s="823"/>
      <c r="AJ27" s="823"/>
      <c r="AK27" s="823"/>
      <c r="AL27" s="823"/>
      <c r="AM27" s="823"/>
      <c r="AN27" s="823"/>
      <c r="AO27" s="823"/>
      <c r="AP27" s="823"/>
    </row>
    <row r="28" spans="1:42" ht="12.75" customHeight="1" outlineLevel="1">
      <c r="A28" s="823"/>
      <c r="B28" s="1135"/>
      <c r="C28" s="1135"/>
      <c r="D28" s="823"/>
      <c r="E28" s="823"/>
      <c r="F28" s="1163" t="s">
        <v>808</v>
      </c>
      <c r="G28" s="1164"/>
      <c r="H28" s="1165"/>
      <c r="I28" s="1165"/>
      <c r="J28" s="1166"/>
      <c r="K28" s="1148"/>
      <c r="L28" s="1148"/>
      <c r="M28" s="1148"/>
      <c r="N28" s="1148"/>
      <c r="O28" s="1148"/>
      <c r="P28" s="823"/>
      <c r="Q28" s="1148"/>
      <c r="R28" s="1148"/>
      <c r="S28" s="1148"/>
      <c r="T28" s="90">
        <v>0</v>
      </c>
      <c r="U28" s="90">
        <v>0</v>
      </c>
      <c r="V28" s="90">
        <v>0</v>
      </c>
      <c r="W28" s="90">
        <v>0</v>
      </c>
      <c r="X28" s="90">
        <v>0</v>
      </c>
      <c r="Y28" s="90">
        <v>0</v>
      </c>
      <c r="Z28" s="90">
        <v>0</v>
      </c>
      <c r="AA28" s="90">
        <v>0</v>
      </c>
      <c r="AB28" s="90">
        <v>0</v>
      </c>
      <c r="AC28" s="90">
        <v>0</v>
      </c>
      <c r="AD28" s="823"/>
      <c r="AE28" s="823"/>
      <c r="AF28" s="823"/>
      <c r="AG28" s="823"/>
      <c r="AH28" s="823"/>
      <c r="AI28" s="823"/>
      <c r="AJ28" s="823"/>
      <c r="AK28" s="823"/>
      <c r="AL28" s="823"/>
      <c r="AM28" s="823"/>
      <c r="AN28" s="823"/>
      <c r="AO28" s="823"/>
      <c r="AP28" s="823"/>
    </row>
    <row r="29" spans="1:42" ht="12.75" customHeight="1" outlineLevel="1">
      <c r="A29" s="823"/>
      <c r="B29" s="1135"/>
      <c r="C29" s="1135"/>
      <c r="D29" s="823"/>
      <c r="E29" s="823"/>
      <c r="F29" s="1163" t="s">
        <v>809</v>
      </c>
      <c r="G29" s="1164"/>
      <c r="H29" s="1165"/>
      <c r="I29" s="1165"/>
      <c r="J29" s="1166"/>
      <c r="K29" s="1148"/>
      <c r="L29" s="1148"/>
      <c r="M29" s="1148"/>
      <c r="N29" s="1148"/>
      <c r="O29" s="1148"/>
      <c r="P29" s="823"/>
      <c r="Q29" s="1148"/>
      <c r="R29" s="1148"/>
      <c r="S29" s="1148"/>
      <c r="T29" s="90">
        <v>0</v>
      </c>
      <c r="U29" s="90">
        <v>0</v>
      </c>
      <c r="V29" s="90">
        <v>0</v>
      </c>
      <c r="W29" s="90">
        <v>0</v>
      </c>
      <c r="X29" s="90">
        <v>0</v>
      </c>
      <c r="Y29" s="90">
        <v>0</v>
      </c>
      <c r="Z29" s="90">
        <v>0</v>
      </c>
      <c r="AA29" s="90">
        <v>0</v>
      </c>
      <c r="AB29" s="90">
        <v>0</v>
      </c>
      <c r="AC29" s="90">
        <v>0</v>
      </c>
      <c r="AD29" s="823"/>
      <c r="AE29" s="823"/>
      <c r="AF29" s="823"/>
      <c r="AG29" s="823"/>
      <c r="AH29" s="823"/>
      <c r="AI29" s="823"/>
      <c r="AJ29" s="823"/>
      <c r="AK29" s="823"/>
      <c r="AL29" s="823"/>
      <c r="AM29" s="823"/>
      <c r="AN29" s="823"/>
      <c r="AO29" s="823"/>
      <c r="AP29" s="823"/>
    </row>
    <row r="30" spans="1:42">
      <c r="A30" s="1149"/>
      <c r="B30" s="1135"/>
      <c r="C30" s="1135"/>
      <c r="D30" s="823"/>
      <c r="E30" s="823"/>
      <c r="F30" s="823"/>
      <c r="G30" s="823"/>
      <c r="H30" s="823"/>
      <c r="I30" s="823"/>
      <c r="J30" s="823"/>
      <c r="K30" s="823"/>
      <c r="L30" s="823"/>
      <c r="M30" s="823"/>
      <c r="N30" s="823"/>
      <c r="O30" s="823"/>
      <c r="P30" s="823"/>
      <c r="Q30" s="823"/>
      <c r="R30" s="823"/>
      <c r="S30" s="1150" t="s">
        <v>839</v>
      </c>
      <c r="T30" s="703">
        <v>-92</v>
      </c>
      <c r="U30" s="703">
        <v>-544</v>
      </c>
      <c r="V30" s="703">
        <v>-598</v>
      </c>
      <c r="W30" s="703">
        <v>-199.81253584425218</v>
      </c>
      <c r="X30" s="703">
        <v>-60</v>
      </c>
      <c r="Y30" s="703">
        <v>-60</v>
      </c>
      <c r="Z30" s="703">
        <v>-60</v>
      </c>
      <c r="AA30" s="703">
        <v>-60</v>
      </c>
      <c r="AB30" s="703">
        <v>-60</v>
      </c>
      <c r="AC30" s="703">
        <v>-60</v>
      </c>
      <c r="AD30" s="823"/>
      <c r="AE30" s="823"/>
      <c r="AF30" s="823"/>
      <c r="AG30" s="823"/>
      <c r="AH30" s="823"/>
      <c r="AI30" s="823"/>
      <c r="AJ30" s="823"/>
      <c r="AK30" s="823"/>
      <c r="AL30" s="823"/>
      <c r="AM30" s="823"/>
      <c r="AN30" s="823"/>
      <c r="AO30" s="823"/>
      <c r="AP30" s="823"/>
    </row>
    <row r="31" spans="1:42">
      <c r="A31" s="823"/>
      <c r="B31" s="1142"/>
      <c r="C31" s="1142"/>
      <c r="D31" s="1130"/>
      <c r="E31" s="1130"/>
      <c r="F31" s="1130"/>
      <c r="G31" s="1130"/>
      <c r="H31" s="1130"/>
      <c r="I31" s="1130"/>
      <c r="J31" s="823"/>
      <c r="K31" s="823"/>
      <c r="L31" s="1130" t="s">
        <v>707</v>
      </c>
      <c r="M31" s="823"/>
      <c r="N31" s="823"/>
      <c r="O31" s="1130" t="s">
        <v>840</v>
      </c>
      <c r="P31" s="823"/>
      <c r="Q31" s="823"/>
      <c r="R31" s="823"/>
      <c r="S31" s="823"/>
      <c r="T31" s="823"/>
      <c r="U31" s="823"/>
      <c r="V31" s="823"/>
      <c r="W31" s="823"/>
      <c r="X31" s="823"/>
      <c r="Y31" s="823"/>
      <c r="Z31" s="823"/>
      <c r="AA31" s="823"/>
      <c r="AB31" s="833"/>
      <c r="AC31" s="823"/>
      <c r="AD31" s="823"/>
      <c r="AE31" s="823"/>
      <c r="AF31" s="823"/>
      <c r="AG31" s="823"/>
      <c r="AH31" s="823"/>
      <c r="AI31" s="823"/>
      <c r="AJ31" s="823"/>
      <c r="AK31" s="823"/>
      <c r="AL31" s="823"/>
      <c r="AM31" s="823"/>
      <c r="AN31" s="823"/>
      <c r="AO31" s="823"/>
      <c r="AP31" s="823"/>
    </row>
    <row r="32" spans="1:42" outlineLevel="1">
      <c r="A32" s="1149"/>
      <c r="B32" s="1142" t="s">
        <v>841</v>
      </c>
      <c r="C32" s="1142"/>
      <c r="D32" s="1130" t="s">
        <v>842</v>
      </c>
      <c r="E32" s="823"/>
      <c r="F32" s="1130"/>
      <c r="G32" s="1130"/>
      <c r="H32" s="1130"/>
      <c r="I32" s="1130"/>
      <c r="J32" s="823"/>
      <c r="K32" s="823"/>
      <c r="L32" s="1151" t="s">
        <v>176</v>
      </c>
      <c r="M32" s="1151"/>
      <c r="N32" s="1151"/>
      <c r="O32" s="1150" t="s">
        <v>843</v>
      </c>
      <c r="P32" s="823"/>
      <c r="Q32" s="823"/>
      <c r="R32" s="823"/>
      <c r="S32" s="1150" t="s">
        <v>844</v>
      </c>
      <c r="T32" s="703">
        <v>0</v>
      </c>
      <c r="U32" s="704">
        <v>0</v>
      </c>
      <c r="V32" s="704">
        <v>0</v>
      </c>
      <c r="W32" s="704">
        <v>0</v>
      </c>
      <c r="X32" s="704">
        <v>0</v>
      </c>
      <c r="Y32" s="704">
        <v>0</v>
      </c>
      <c r="Z32" s="704">
        <v>0</v>
      </c>
      <c r="AA32" s="705">
        <v>0</v>
      </c>
      <c r="AB32" s="806">
        <v>0</v>
      </c>
      <c r="AC32" s="704">
        <v>0</v>
      </c>
      <c r="AD32" s="823"/>
      <c r="AE32" s="823"/>
      <c r="AF32" s="823"/>
      <c r="AG32" s="823"/>
      <c r="AH32" s="823"/>
      <c r="AI32" s="823"/>
      <c r="AJ32" s="823"/>
      <c r="AK32" s="823"/>
      <c r="AL32" s="823"/>
      <c r="AM32" s="823"/>
      <c r="AN32" s="823"/>
      <c r="AO32" s="823"/>
      <c r="AP32" s="823"/>
    </row>
    <row r="33" spans="1:42">
      <c r="A33" s="823"/>
      <c r="B33" s="1142" t="s">
        <v>845</v>
      </c>
      <c r="C33" s="1135"/>
      <c r="D33" s="1130" t="s">
        <v>846</v>
      </c>
      <c r="E33" s="823"/>
      <c r="F33" s="1130"/>
      <c r="G33" s="1130"/>
      <c r="H33" s="1130"/>
      <c r="I33" s="1130"/>
      <c r="J33" s="823"/>
      <c r="K33" s="823"/>
      <c r="L33" s="1151" t="s">
        <v>186</v>
      </c>
      <c r="M33" s="1151"/>
      <c r="N33" s="1151"/>
      <c r="O33" s="1150" t="s">
        <v>843</v>
      </c>
      <c r="P33" s="823"/>
      <c r="Q33" s="823"/>
      <c r="R33" s="823"/>
      <c r="S33" s="1150" t="s">
        <v>847</v>
      </c>
      <c r="T33" s="703">
        <v>921.75888442691485</v>
      </c>
      <c r="U33" s="704">
        <v>991.7208878156041</v>
      </c>
      <c r="V33" s="704">
        <v>754.20039696012509</v>
      </c>
      <c r="W33" s="704">
        <v>550</v>
      </c>
      <c r="X33" s="704">
        <v>550</v>
      </c>
      <c r="Y33" s="704">
        <v>150</v>
      </c>
      <c r="Z33" s="704">
        <v>150</v>
      </c>
      <c r="AA33" s="705">
        <v>150</v>
      </c>
      <c r="AB33" s="806">
        <v>150</v>
      </c>
      <c r="AC33" s="704">
        <v>0</v>
      </c>
      <c r="AD33" s="823"/>
      <c r="AE33" s="823"/>
      <c r="AF33" s="823"/>
      <c r="AG33" s="823"/>
      <c r="AH33" s="823"/>
      <c r="AI33" s="823"/>
      <c r="AJ33" s="823"/>
      <c r="AK33" s="823"/>
      <c r="AL33" s="823"/>
      <c r="AM33" s="823"/>
      <c r="AN33" s="823"/>
      <c r="AO33" s="823"/>
      <c r="AP33" s="823"/>
    </row>
    <row r="34" spans="1:42">
      <c r="A34" s="823"/>
      <c r="B34" s="1142" t="s">
        <v>848</v>
      </c>
      <c r="C34" s="1135"/>
      <c r="D34" s="1130" t="s">
        <v>849</v>
      </c>
      <c r="E34" s="823"/>
      <c r="F34" s="1130"/>
      <c r="G34" s="1135"/>
      <c r="H34" s="1135"/>
      <c r="I34" s="823"/>
      <c r="J34" s="823"/>
      <c r="K34" s="823"/>
      <c r="L34" s="1151" t="s">
        <v>196</v>
      </c>
      <c r="M34" s="1151"/>
      <c r="N34" s="1151"/>
      <c r="O34" s="1150" t="s">
        <v>843</v>
      </c>
      <c r="P34" s="823"/>
      <c r="Q34" s="823"/>
      <c r="R34" s="823"/>
      <c r="S34" s="1150" t="s">
        <v>850</v>
      </c>
      <c r="T34" s="703">
        <v>0</v>
      </c>
      <c r="U34" s="704">
        <v>0</v>
      </c>
      <c r="V34" s="704">
        <v>0</v>
      </c>
      <c r="W34" s="704">
        <v>0</v>
      </c>
      <c r="X34" s="704">
        <v>0</v>
      </c>
      <c r="Y34" s="704">
        <v>0</v>
      </c>
      <c r="Z34" s="704">
        <v>0</v>
      </c>
      <c r="AA34" s="705">
        <v>0</v>
      </c>
      <c r="AB34" s="806">
        <v>0</v>
      </c>
      <c r="AC34" s="704">
        <v>0</v>
      </c>
      <c r="AD34" s="823"/>
      <c r="AE34" s="823"/>
      <c r="AF34" s="823"/>
      <c r="AG34" s="823"/>
      <c r="AH34" s="823"/>
      <c r="AI34" s="823"/>
      <c r="AJ34" s="823"/>
      <c r="AK34" s="823"/>
      <c r="AL34" s="823"/>
      <c r="AM34" s="823"/>
      <c r="AN34" s="823"/>
      <c r="AO34" s="823"/>
      <c r="AP34" s="823"/>
    </row>
    <row r="35" spans="1:42">
      <c r="A35" s="823"/>
      <c r="B35" s="1142" t="s">
        <v>851</v>
      </c>
      <c r="C35" s="1142"/>
      <c r="D35" s="1130" t="s">
        <v>852</v>
      </c>
      <c r="E35" s="1130"/>
      <c r="F35" s="1130"/>
      <c r="G35" s="1130"/>
      <c r="H35" s="1130"/>
      <c r="I35" s="1130"/>
      <c r="J35" s="1130"/>
      <c r="K35" s="1130"/>
      <c r="L35" s="1151" t="s">
        <v>205</v>
      </c>
      <c r="M35" s="1151"/>
      <c r="N35" s="1151"/>
      <c r="O35" s="1150" t="s">
        <v>843</v>
      </c>
      <c r="P35" s="1130"/>
      <c r="Q35" s="823"/>
      <c r="R35" s="823"/>
      <c r="S35" s="1150" t="s">
        <v>853</v>
      </c>
      <c r="T35" s="703">
        <v>0</v>
      </c>
      <c r="U35" s="704">
        <v>0</v>
      </c>
      <c r="V35" s="704">
        <v>0</v>
      </c>
      <c r="W35" s="704">
        <v>0</v>
      </c>
      <c r="X35" s="704">
        <v>0</v>
      </c>
      <c r="Y35" s="704">
        <v>0</v>
      </c>
      <c r="Z35" s="704">
        <v>0</v>
      </c>
      <c r="AA35" s="705">
        <v>0</v>
      </c>
      <c r="AB35" s="806">
        <v>0</v>
      </c>
      <c r="AC35" s="704">
        <v>0</v>
      </c>
      <c r="AD35" s="823"/>
      <c r="AE35" s="823"/>
      <c r="AF35" s="823"/>
      <c r="AG35" s="823"/>
      <c r="AH35" s="823"/>
      <c r="AI35" s="823"/>
      <c r="AJ35" s="823"/>
      <c r="AK35" s="823"/>
      <c r="AL35" s="823"/>
      <c r="AM35" s="823"/>
      <c r="AN35" s="823"/>
      <c r="AO35" s="823"/>
      <c r="AP35" s="823"/>
    </row>
    <row r="36" spans="1:42">
      <c r="A36" s="823"/>
      <c r="B36" s="1142" t="s">
        <v>854</v>
      </c>
      <c r="C36" s="1135"/>
      <c r="D36" s="1130" t="s">
        <v>855</v>
      </c>
      <c r="E36" s="823"/>
      <c r="F36" s="1130"/>
      <c r="G36" s="1135"/>
      <c r="H36" s="1135"/>
      <c r="I36" s="823"/>
      <c r="J36" s="823"/>
      <c r="K36" s="823"/>
      <c r="L36" s="1151" t="s">
        <v>210</v>
      </c>
      <c r="M36" s="1151"/>
      <c r="N36" s="1151"/>
      <c r="O36" s="1150" t="s">
        <v>843</v>
      </c>
      <c r="P36" s="823"/>
      <c r="Q36" s="823"/>
      <c r="R36" s="823"/>
      <c r="S36" s="1150" t="s">
        <v>856</v>
      </c>
      <c r="T36" s="703">
        <v>0</v>
      </c>
      <c r="U36" s="704">
        <v>0</v>
      </c>
      <c r="V36" s="704">
        <v>0</v>
      </c>
      <c r="W36" s="704">
        <v>0</v>
      </c>
      <c r="X36" s="704">
        <v>0</v>
      </c>
      <c r="Y36" s="704">
        <v>0</v>
      </c>
      <c r="Z36" s="704">
        <v>0</v>
      </c>
      <c r="AA36" s="705">
        <v>0</v>
      </c>
      <c r="AB36" s="806">
        <v>0</v>
      </c>
      <c r="AC36" s="704">
        <v>0</v>
      </c>
      <c r="AD36" s="823"/>
      <c r="AE36" s="823"/>
      <c r="AF36" s="823"/>
      <c r="AG36" s="823"/>
      <c r="AH36" s="823"/>
      <c r="AI36" s="823"/>
      <c r="AJ36" s="823"/>
      <c r="AK36" s="823"/>
      <c r="AL36" s="823"/>
      <c r="AM36" s="823"/>
      <c r="AN36" s="823"/>
      <c r="AO36" s="823"/>
      <c r="AP36" s="823"/>
    </row>
    <row r="37" spans="1:42" ht="14" thickBot="1">
      <c r="A37" s="823"/>
      <c r="B37" s="1142" t="s">
        <v>857</v>
      </c>
      <c r="C37" s="1135"/>
      <c r="D37" s="1130" t="s">
        <v>858</v>
      </c>
      <c r="E37" s="823"/>
      <c r="F37" s="1130"/>
      <c r="G37" s="1135"/>
      <c r="H37" s="1135"/>
      <c r="I37" s="823"/>
      <c r="J37" s="823"/>
      <c r="K37" s="823"/>
      <c r="L37" s="1151" t="s">
        <v>215</v>
      </c>
      <c r="M37" s="1151"/>
      <c r="N37" s="1151"/>
      <c r="O37" s="1150" t="s">
        <v>843</v>
      </c>
      <c r="P37" s="823"/>
      <c r="Q37" s="823"/>
      <c r="R37" s="823"/>
      <c r="S37" s="1150" t="s">
        <v>859</v>
      </c>
      <c r="T37" s="807">
        <v>5744.0574474325094</v>
      </c>
      <c r="U37" s="808">
        <v>6276.6283464101834</v>
      </c>
      <c r="V37" s="808">
        <v>6918.0718850190706</v>
      </c>
      <c r="W37" s="808">
        <v>6553.4548375891245</v>
      </c>
      <c r="X37" s="808">
        <v>6566.0408988509871</v>
      </c>
      <c r="Y37" s="808">
        <v>6581.6808151083587</v>
      </c>
      <c r="Z37" s="808">
        <v>6600.3313474791921</v>
      </c>
      <c r="AA37" s="809">
        <v>5772.7033958211505</v>
      </c>
      <c r="AB37" s="810">
        <v>4731.8764616998169</v>
      </c>
      <c r="AC37" s="808">
        <v>4391.006066235801</v>
      </c>
      <c r="AD37" s="823"/>
      <c r="AE37" s="823"/>
      <c r="AF37" s="823"/>
      <c r="AG37" s="823"/>
      <c r="AH37" s="823"/>
      <c r="AI37" s="823"/>
      <c r="AJ37" s="823"/>
      <c r="AK37" s="823"/>
      <c r="AL37" s="823"/>
      <c r="AM37" s="823"/>
      <c r="AN37" s="823"/>
      <c r="AO37" s="823"/>
      <c r="AP37" s="823"/>
    </row>
    <row r="38" spans="1:42">
      <c r="A38" s="823"/>
      <c r="B38" s="1142" t="s">
        <v>860</v>
      </c>
      <c r="C38" s="1142"/>
      <c r="D38" s="1130" t="s">
        <v>861</v>
      </c>
      <c r="E38" s="1130"/>
      <c r="F38" s="1130"/>
      <c r="G38" s="1130"/>
      <c r="H38" s="1130"/>
      <c r="I38" s="1130"/>
      <c r="J38" s="1130"/>
      <c r="K38" s="1130"/>
      <c r="L38" s="1151" t="s">
        <v>219</v>
      </c>
      <c r="M38" s="1151"/>
      <c r="N38" s="1151"/>
      <c r="O38" s="1150" t="s">
        <v>862</v>
      </c>
      <c r="P38" s="1130"/>
      <c r="Q38" s="1130"/>
      <c r="R38" s="823"/>
      <c r="S38" s="1150" t="s">
        <v>863</v>
      </c>
      <c r="T38" s="811">
        <v>3235.982</v>
      </c>
      <c r="U38" s="812">
        <v>3235.982</v>
      </c>
      <c r="V38" s="812">
        <v>4209.076</v>
      </c>
      <c r="W38" s="812">
        <v>3828.5509999999995</v>
      </c>
      <c r="X38" s="812">
        <v>3828.5509999999995</v>
      </c>
      <c r="Y38" s="812">
        <v>3428.5509999999995</v>
      </c>
      <c r="Z38" s="812">
        <v>3328.5509999999995</v>
      </c>
      <c r="AA38" s="813">
        <v>3128.5509999999995</v>
      </c>
      <c r="AB38" s="814">
        <v>1799.681</v>
      </c>
      <c r="AC38" s="812">
        <v>1120.0619999999999</v>
      </c>
      <c r="AD38" s="823"/>
      <c r="AE38" s="823"/>
      <c r="AF38" s="823"/>
      <c r="AG38" s="823"/>
      <c r="AH38" s="823"/>
      <c r="AI38" s="823"/>
      <c r="AJ38" s="823"/>
      <c r="AK38" s="823"/>
      <c r="AL38" s="823"/>
      <c r="AM38" s="823"/>
      <c r="AN38" s="823"/>
      <c r="AO38" s="823"/>
      <c r="AP38" s="823"/>
    </row>
    <row r="39" spans="1:42" ht="14" thickBot="1">
      <c r="A39" s="823"/>
      <c r="B39" s="1142" t="s">
        <v>864</v>
      </c>
      <c r="C39" s="1135"/>
      <c r="D39" s="1130" t="s">
        <v>865</v>
      </c>
      <c r="E39" s="823"/>
      <c r="F39" s="1130"/>
      <c r="G39" s="1135"/>
      <c r="H39" s="1135"/>
      <c r="I39" s="1135"/>
      <c r="J39" s="823"/>
      <c r="K39" s="823"/>
      <c r="L39" s="1151" t="s">
        <v>222</v>
      </c>
      <c r="M39" s="1151"/>
      <c r="N39" s="1151"/>
      <c r="O39" s="1150" t="s">
        <v>862</v>
      </c>
      <c r="P39" s="823"/>
      <c r="Q39" s="823"/>
      <c r="R39" s="823"/>
      <c r="S39" s="1150" t="s">
        <v>866</v>
      </c>
      <c r="T39" s="815">
        <v>-3235.982</v>
      </c>
      <c r="U39" s="816">
        <v>-3235.982</v>
      </c>
      <c r="V39" s="816">
        <v>-4209.076</v>
      </c>
      <c r="W39" s="816">
        <v>-3828.5509999999995</v>
      </c>
      <c r="X39" s="816">
        <v>-3828.5509999999995</v>
      </c>
      <c r="Y39" s="816">
        <v>-3428.5509999999995</v>
      </c>
      <c r="Z39" s="816">
        <v>-3328.5509999999995</v>
      </c>
      <c r="AA39" s="817">
        <v>-3128.5509999999995</v>
      </c>
      <c r="AB39" s="818">
        <v>-1799.6809999999998</v>
      </c>
      <c r="AC39" s="816">
        <v>-1120.0619999999999</v>
      </c>
      <c r="AD39" s="823"/>
      <c r="AE39" s="823"/>
      <c r="AF39" s="823"/>
      <c r="AG39" s="823"/>
      <c r="AH39" s="823"/>
      <c r="AI39" s="823"/>
      <c r="AJ39" s="823"/>
      <c r="AK39" s="823"/>
      <c r="AL39" s="823"/>
      <c r="AM39" s="823"/>
      <c r="AN39" s="823"/>
      <c r="AO39" s="823"/>
      <c r="AP39" s="823"/>
    </row>
    <row r="40" spans="1:42">
      <c r="A40" s="823"/>
      <c r="B40" s="1142" t="s">
        <v>867</v>
      </c>
      <c r="C40" s="1135"/>
      <c r="D40" s="1130" t="s">
        <v>216</v>
      </c>
      <c r="E40" s="823"/>
      <c r="F40" s="1130"/>
      <c r="G40" s="1135"/>
      <c r="H40" s="1135"/>
      <c r="I40" s="1135"/>
      <c r="J40" s="823"/>
      <c r="K40" s="823"/>
      <c r="L40" s="1151" t="s">
        <v>216</v>
      </c>
      <c r="M40" s="1151"/>
      <c r="N40" s="1151"/>
      <c r="O40" s="1150" t="s">
        <v>843</v>
      </c>
      <c r="P40" s="823"/>
      <c r="Q40" s="823"/>
      <c r="R40" s="823"/>
      <c r="S40" s="1150" t="s">
        <v>868</v>
      </c>
      <c r="T40" s="819">
        <v>0</v>
      </c>
      <c r="U40" s="820">
        <v>0</v>
      </c>
      <c r="V40" s="820">
        <v>0</v>
      </c>
      <c r="W40" s="820">
        <v>0</v>
      </c>
      <c r="X40" s="820">
        <v>0</v>
      </c>
      <c r="Y40" s="820">
        <v>0</v>
      </c>
      <c r="Z40" s="820">
        <v>0</v>
      </c>
      <c r="AA40" s="821">
        <v>0</v>
      </c>
      <c r="AB40" s="822">
        <v>0</v>
      </c>
      <c r="AC40" s="820">
        <v>0</v>
      </c>
      <c r="AD40" s="823"/>
      <c r="AE40" s="823"/>
      <c r="AF40" s="823"/>
      <c r="AG40" s="823"/>
      <c r="AH40" s="823"/>
      <c r="AI40" s="823"/>
      <c r="AJ40" s="823"/>
      <c r="AK40" s="823"/>
      <c r="AL40" s="823"/>
      <c r="AM40" s="823"/>
      <c r="AN40" s="823"/>
      <c r="AO40" s="823"/>
      <c r="AP40" s="823"/>
    </row>
    <row r="41" spans="1:42">
      <c r="A41" s="823"/>
      <c r="B41" s="1135"/>
      <c r="C41" s="1135"/>
      <c r="D41" s="1152" t="s">
        <v>557</v>
      </c>
      <c r="E41" s="823"/>
      <c r="F41" s="823"/>
      <c r="G41" s="823"/>
      <c r="H41" s="823"/>
      <c r="I41" s="823"/>
      <c r="J41" s="823"/>
      <c r="K41" s="823"/>
      <c r="L41" s="823"/>
      <c r="M41" s="823"/>
      <c r="N41" s="823"/>
      <c r="O41" s="823"/>
      <c r="P41" s="823"/>
      <c r="Q41" s="823"/>
      <c r="R41" s="823"/>
      <c r="S41" s="823"/>
      <c r="T41" s="823" t="s">
        <v>1255</v>
      </c>
      <c r="U41" s="823" t="s">
        <v>1255</v>
      </c>
      <c r="V41" s="823" t="s">
        <v>1255</v>
      </c>
      <c r="W41" s="823" t="s">
        <v>1255</v>
      </c>
      <c r="X41" s="823" t="s">
        <v>1255</v>
      </c>
      <c r="Y41" s="823" t="s">
        <v>1255</v>
      </c>
      <c r="Z41" s="823" t="s">
        <v>1255</v>
      </c>
      <c r="AA41" s="824" t="s">
        <v>1255</v>
      </c>
      <c r="AB41" s="823" t="s">
        <v>1255</v>
      </c>
      <c r="AC41" s="823" t="s">
        <v>1255</v>
      </c>
      <c r="AD41" s="823"/>
      <c r="AE41" s="823"/>
      <c r="AF41" s="823"/>
      <c r="AG41" s="823"/>
      <c r="AH41" s="823"/>
      <c r="AI41" s="823"/>
      <c r="AJ41" s="823"/>
      <c r="AK41" s="823"/>
      <c r="AL41" s="823"/>
      <c r="AM41" s="823"/>
      <c r="AN41" s="823"/>
      <c r="AO41" s="823"/>
      <c r="AP41" s="823"/>
    </row>
    <row r="42" spans="1:42">
      <c r="A42" s="823"/>
      <c r="B42" s="1135"/>
      <c r="C42" s="1135"/>
      <c r="D42" s="823"/>
      <c r="E42" s="823"/>
      <c r="F42" s="1135"/>
      <c r="G42" s="1135"/>
      <c r="H42" s="1135"/>
      <c r="I42" s="1135"/>
      <c r="J42" s="823"/>
      <c r="K42" s="823"/>
      <c r="L42" s="823"/>
      <c r="M42" s="823"/>
      <c r="N42" s="823"/>
      <c r="O42" s="823"/>
      <c r="P42" s="823"/>
      <c r="Q42" s="823"/>
      <c r="R42" s="823"/>
      <c r="S42" s="823"/>
      <c r="T42" s="1153"/>
      <c r="U42" s="1153"/>
      <c r="V42" s="1153"/>
      <c r="W42" s="1153"/>
      <c r="X42" s="1153"/>
      <c r="Y42" s="1153"/>
      <c r="Z42" s="1153"/>
      <c r="AA42" s="823"/>
      <c r="AB42" s="833"/>
      <c r="AC42" s="823"/>
      <c r="AD42" s="823"/>
      <c r="AE42" s="823"/>
      <c r="AF42" s="823"/>
      <c r="AG42" s="823"/>
      <c r="AH42" s="823"/>
      <c r="AI42" s="823"/>
      <c r="AJ42" s="823"/>
      <c r="AK42" s="823"/>
      <c r="AL42" s="823"/>
      <c r="AM42" s="823"/>
      <c r="AN42" s="823"/>
      <c r="AO42" s="823"/>
      <c r="AP42" s="823"/>
    </row>
    <row r="43" spans="1:42">
      <c r="A43" s="823"/>
      <c r="B43" s="1135"/>
      <c r="C43" s="1135"/>
      <c r="D43" s="823"/>
      <c r="E43" s="823"/>
      <c r="F43" s="823"/>
      <c r="G43" s="823"/>
      <c r="H43" s="823"/>
      <c r="I43" s="823"/>
      <c r="J43" s="823"/>
      <c r="K43" s="823"/>
      <c r="L43" s="823"/>
      <c r="M43" s="823"/>
      <c r="N43" s="823"/>
      <c r="O43" s="823"/>
      <c r="P43" s="823"/>
      <c r="Q43" s="823"/>
      <c r="R43" s="823"/>
      <c r="S43" s="1154" t="s">
        <v>869</v>
      </c>
      <c r="T43" s="698">
        <v>6573.8163318594234</v>
      </c>
      <c r="U43" s="699">
        <v>6724.3492342257887</v>
      </c>
      <c r="V43" s="699">
        <v>7074.272281979197</v>
      </c>
      <c r="W43" s="699">
        <v>6903.6423017448724</v>
      </c>
      <c r="X43" s="699">
        <v>7056.040898850988</v>
      </c>
      <c r="Y43" s="699">
        <v>6671.6808151083587</v>
      </c>
      <c r="Z43" s="699">
        <v>6690.3313474791921</v>
      </c>
      <c r="AA43" s="700">
        <v>5862.7033958211505</v>
      </c>
      <c r="AB43" s="825">
        <v>4821.8764616998169</v>
      </c>
      <c r="AC43" s="699">
        <v>4331.006066235801</v>
      </c>
      <c r="AD43" s="823"/>
      <c r="AE43" s="823"/>
      <c r="AF43" s="823"/>
      <c r="AG43" s="823"/>
      <c r="AH43" s="823"/>
      <c r="AI43" s="823"/>
      <c r="AJ43" s="823"/>
      <c r="AK43" s="823"/>
      <c r="AL43" s="823"/>
      <c r="AM43" s="823"/>
      <c r="AN43" s="823"/>
      <c r="AO43" s="823"/>
      <c r="AP43" s="823"/>
    </row>
    <row r="44" spans="1:42">
      <c r="A44" s="823"/>
      <c r="B44" s="1135"/>
      <c r="C44" s="1135"/>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33"/>
      <c r="AC44" s="823"/>
      <c r="AD44" s="823"/>
      <c r="AE44" s="823"/>
      <c r="AF44" s="823"/>
      <c r="AG44" s="823"/>
      <c r="AH44" s="823"/>
      <c r="AI44" s="823"/>
      <c r="AJ44" s="823"/>
      <c r="AK44" s="823"/>
      <c r="AL44" s="823"/>
      <c r="AM44" s="823"/>
      <c r="AN44" s="823"/>
      <c r="AO44" s="823"/>
      <c r="AP44" s="823"/>
    </row>
    <row r="45" spans="1:42" ht="16">
      <c r="A45" s="823"/>
      <c r="B45" s="1124" t="s">
        <v>870</v>
      </c>
      <c r="C45" s="1124"/>
      <c r="D45" s="1125"/>
      <c r="E45" s="1125"/>
      <c r="F45" s="1125"/>
      <c r="G45" s="1125"/>
      <c r="H45" s="1125"/>
      <c r="I45" s="1125"/>
      <c r="J45" s="1125"/>
      <c r="K45" s="1125"/>
      <c r="L45" s="1125"/>
      <c r="M45" s="1125"/>
      <c r="N45" s="1125"/>
      <c r="O45" s="1125"/>
      <c r="P45" s="1125"/>
      <c r="Q45" s="1125"/>
      <c r="R45" s="823"/>
      <c r="S45" s="823"/>
      <c r="T45" s="823"/>
      <c r="U45" s="823"/>
      <c r="V45" s="823"/>
      <c r="W45" s="823"/>
      <c r="X45" s="823"/>
      <c r="Y45" s="823"/>
      <c r="Z45" s="823"/>
      <c r="AA45" s="823"/>
      <c r="AB45" s="833"/>
      <c r="AC45" s="823"/>
      <c r="AD45" s="823"/>
      <c r="AE45" s="823"/>
      <c r="AF45" s="823"/>
      <c r="AG45" s="823"/>
      <c r="AH45" s="823"/>
      <c r="AI45" s="823"/>
      <c r="AJ45" s="823"/>
      <c r="AK45" s="823"/>
      <c r="AL45" s="823"/>
      <c r="AM45" s="823"/>
      <c r="AN45" s="823"/>
      <c r="AO45" s="823"/>
      <c r="AP45" s="823"/>
    </row>
    <row r="46" spans="1:42">
      <c r="A46" s="823"/>
      <c r="B46" s="1135"/>
      <c r="C46" s="1135"/>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33"/>
      <c r="AC46" s="823"/>
      <c r="AD46" s="823"/>
      <c r="AE46" s="823"/>
      <c r="AF46" s="823"/>
      <c r="AG46" s="823"/>
      <c r="AH46" s="823"/>
      <c r="AI46" s="823"/>
      <c r="AJ46" s="823"/>
      <c r="AK46" s="823"/>
      <c r="AL46" s="823"/>
      <c r="AM46" s="823"/>
      <c r="AN46" s="823"/>
      <c r="AO46" s="823"/>
      <c r="AP46" s="823"/>
    </row>
    <row r="47" spans="1:42">
      <c r="A47" s="823"/>
      <c r="B47" s="1135"/>
      <c r="C47" s="1135"/>
      <c r="D47" s="1155" t="s">
        <v>871</v>
      </c>
      <c r="E47" s="1155"/>
      <c r="F47" s="1156"/>
      <c r="G47" s="1156"/>
      <c r="H47" s="1156"/>
      <c r="I47" s="1156"/>
      <c r="J47" s="1156"/>
      <c r="K47" s="1156"/>
      <c r="L47" s="1156"/>
      <c r="M47" s="1156"/>
      <c r="N47" s="1156"/>
      <c r="O47" s="1156"/>
      <c r="P47" s="1156"/>
      <c r="Q47" s="1156"/>
      <c r="R47" s="1156"/>
      <c r="S47" s="823"/>
      <c r="T47" s="1156"/>
      <c r="U47" s="823"/>
      <c r="V47" s="823"/>
      <c r="W47" s="823"/>
      <c r="X47" s="823"/>
      <c r="Y47" s="823"/>
      <c r="Z47" s="823"/>
      <c r="AA47" s="823"/>
      <c r="AB47" s="833"/>
      <c r="AC47" s="823"/>
      <c r="AD47" s="823"/>
      <c r="AE47" s="823"/>
      <c r="AF47" s="823"/>
      <c r="AG47" s="823"/>
      <c r="AH47" s="823"/>
      <c r="AI47" s="823"/>
      <c r="AJ47" s="823"/>
      <c r="AK47" s="823"/>
      <c r="AL47" s="823"/>
      <c r="AM47" s="823"/>
      <c r="AN47" s="823"/>
      <c r="AO47" s="823"/>
      <c r="AP47" s="823"/>
    </row>
    <row r="48" spans="1:42">
      <c r="A48" s="823"/>
      <c r="B48" s="1142" t="s">
        <v>824</v>
      </c>
      <c r="C48" s="1142"/>
      <c r="D48" s="1358"/>
      <c r="E48" s="1359"/>
      <c r="F48" s="1359"/>
      <c r="G48" s="1359"/>
      <c r="H48" s="1359"/>
      <c r="I48" s="1359"/>
      <c r="J48" s="1359"/>
      <c r="K48" s="1359"/>
      <c r="L48" s="1359"/>
      <c r="M48" s="1359"/>
      <c r="N48" s="1359"/>
      <c r="O48" s="1359"/>
      <c r="P48" s="1359"/>
      <c r="Q48" s="1360"/>
      <c r="R48" s="1156"/>
      <c r="S48" s="823"/>
      <c r="T48" s="1156"/>
      <c r="U48" s="823"/>
      <c r="V48" s="823"/>
      <c r="W48" s="823"/>
      <c r="X48" s="823"/>
      <c r="Y48" s="823"/>
      <c r="Z48" s="823"/>
      <c r="AA48" s="823"/>
      <c r="AB48" s="833"/>
      <c r="AC48" s="823"/>
      <c r="AD48" s="823"/>
      <c r="AE48" s="823"/>
      <c r="AF48" s="823"/>
      <c r="AG48" s="823"/>
      <c r="AH48" s="823"/>
      <c r="AI48" s="823"/>
      <c r="AJ48" s="823"/>
      <c r="AK48" s="823"/>
      <c r="AL48" s="823"/>
      <c r="AM48" s="823"/>
      <c r="AN48" s="823"/>
      <c r="AO48" s="823"/>
      <c r="AP48" s="823"/>
    </row>
    <row r="49" spans="1:42">
      <c r="A49" s="823"/>
      <c r="B49" s="1142" t="s">
        <v>841</v>
      </c>
      <c r="C49" s="1142"/>
      <c r="D49" s="1358"/>
      <c r="E49" s="1359"/>
      <c r="F49" s="1359"/>
      <c r="G49" s="1359"/>
      <c r="H49" s="1359"/>
      <c r="I49" s="1359"/>
      <c r="J49" s="1359"/>
      <c r="K49" s="1359"/>
      <c r="L49" s="1359"/>
      <c r="M49" s="1359"/>
      <c r="N49" s="1359"/>
      <c r="O49" s="1359"/>
      <c r="P49" s="1359"/>
      <c r="Q49" s="1360"/>
      <c r="R49" s="1156"/>
      <c r="S49" s="823"/>
      <c r="T49" s="1156"/>
      <c r="U49" s="823"/>
      <c r="V49" s="823"/>
      <c r="W49" s="823"/>
      <c r="X49" s="823"/>
      <c r="Y49" s="823"/>
      <c r="Z49" s="823"/>
      <c r="AA49" s="823"/>
      <c r="AB49" s="833"/>
      <c r="AC49" s="823"/>
      <c r="AD49" s="823"/>
      <c r="AE49" s="823"/>
      <c r="AF49" s="823"/>
      <c r="AG49" s="823"/>
      <c r="AH49" s="823"/>
      <c r="AI49" s="823"/>
      <c r="AJ49" s="823"/>
      <c r="AK49" s="823"/>
      <c r="AL49" s="823"/>
      <c r="AM49" s="823"/>
      <c r="AN49" s="823"/>
      <c r="AO49" s="823"/>
      <c r="AP49" s="823"/>
    </row>
    <row r="50" spans="1:42">
      <c r="A50" s="823"/>
      <c r="B50" s="1142" t="s">
        <v>845</v>
      </c>
      <c r="C50" s="1142"/>
      <c r="D50" s="1358"/>
      <c r="E50" s="1359"/>
      <c r="F50" s="1359"/>
      <c r="G50" s="1359"/>
      <c r="H50" s="1359"/>
      <c r="I50" s="1359"/>
      <c r="J50" s="1359"/>
      <c r="K50" s="1359"/>
      <c r="L50" s="1359"/>
      <c r="M50" s="1359"/>
      <c r="N50" s="1359"/>
      <c r="O50" s="1359"/>
      <c r="P50" s="1359"/>
      <c r="Q50" s="1360"/>
      <c r="R50" s="1156"/>
      <c r="S50" s="823"/>
      <c r="T50" s="1156"/>
      <c r="U50" s="823"/>
      <c r="V50" s="823"/>
      <c r="W50" s="823"/>
      <c r="X50" s="823"/>
      <c r="Y50" s="823"/>
      <c r="Z50" s="823"/>
      <c r="AA50" s="823"/>
      <c r="AB50" s="833"/>
      <c r="AC50" s="823"/>
      <c r="AD50" s="823"/>
      <c r="AE50" s="823"/>
      <c r="AF50" s="823"/>
      <c r="AG50" s="823"/>
      <c r="AH50" s="823"/>
      <c r="AI50" s="823"/>
      <c r="AJ50" s="823"/>
      <c r="AK50" s="823"/>
      <c r="AL50" s="823"/>
      <c r="AM50" s="823"/>
      <c r="AN50" s="823"/>
      <c r="AO50" s="823"/>
      <c r="AP50" s="823"/>
    </row>
    <row r="51" spans="1:42">
      <c r="A51" s="823"/>
      <c r="B51" s="1142" t="s">
        <v>848</v>
      </c>
      <c r="C51" s="1142"/>
      <c r="D51" s="1358"/>
      <c r="E51" s="1359"/>
      <c r="F51" s="1359"/>
      <c r="G51" s="1359"/>
      <c r="H51" s="1359"/>
      <c r="I51" s="1359"/>
      <c r="J51" s="1359"/>
      <c r="K51" s="1359"/>
      <c r="L51" s="1359"/>
      <c r="M51" s="1359"/>
      <c r="N51" s="1359"/>
      <c r="O51" s="1359"/>
      <c r="P51" s="1359"/>
      <c r="Q51" s="1360"/>
      <c r="R51" s="1156"/>
      <c r="S51" s="823"/>
      <c r="T51" s="1156"/>
      <c r="U51" s="823"/>
      <c r="V51" s="823"/>
      <c r="W51" s="823"/>
      <c r="X51" s="823"/>
      <c r="Y51" s="823"/>
      <c r="Z51" s="823"/>
      <c r="AA51" s="823"/>
      <c r="AB51" s="833"/>
      <c r="AC51" s="823"/>
      <c r="AD51" s="823"/>
      <c r="AE51" s="823"/>
      <c r="AF51" s="823"/>
      <c r="AG51" s="823"/>
      <c r="AH51" s="823"/>
      <c r="AI51" s="823"/>
      <c r="AJ51" s="823"/>
      <c r="AK51" s="823"/>
      <c r="AL51" s="823"/>
      <c r="AM51" s="823"/>
      <c r="AN51" s="823"/>
      <c r="AO51" s="823"/>
      <c r="AP51" s="823"/>
    </row>
    <row r="52" spans="1:42">
      <c r="A52" s="823"/>
      <c r="B52" s="1142" t="s">
        <v>851</v>
      </c>
      <c r="C52" s="1142"/>
      <c r="D52" s="1358"/>
      <c r="E52" s="1359"/>
      <c r="F52" s="1359"/>
      <c r="G52" s="1359"/>
      <c r="H52" s="1359"/>
      <c r="I52" s="1359"/>
      <c r="J52" s="1359"/>
      <c r="K52" s="1359"/>
      <c r="L52" s="1359"/>
      <c r="M52" s="1359"/>
      <c r="N52" s="1359"/>
      <c r="O52" s="1359"/>
      <c r="P52" s="1359"/>
      <c r="Q52" s="1360"/>
      <c r="R52" s="1156"/>
      <c r="S52" s="823"/>
      <c r="T52" s="1156"/>
      <c r="U52" s="823"/>
      <c r="V52" s="823"/>
      <c r="W52" s="823"/>
      <c r="X52" s="823"/>
      <c r="Y52" s="823"/>
      <c r="Z52" s="823"/>
      <c r="AA52" s="823"/>
      <c r="AB52" s="833"/>
      <c r="AC52" s="823"/>
      <c r="AD52" s="823"/>
      <c r="AE52" s="823"/>
      <c r="AF52" s="823"/>
      <c r="AG52" s="823"/>
      <c r="AH52" s="823"/>
      <c r="AI52" s="823"/>
      <c r="AJ52" s="823"/>
      <c r="AK52" s="823"/>
      <c r="AL52" s="823"/>
      <c r="AM52" s="823"/>
      <c r="AN52" s="823"/>
      <c r="AO52" s="823"/>
      <c r="AP52" s="823"/>
    </row>
    <row r="53" spans="1:42">
      <c r="A53" s="823"/>
      <c r="B53" s="1142" t="s">
        <v>854</v>
      </c>
      <c r="C53" s="1142"/>
      <c r="D53" s="1358"/>
      <c r="E53" s="1359"/>
      <c r="F53" s="1359"/>
      <c r="G53" s="1359"/>
      <c r="H53" s="1359"/>
      <c r="I53" s="1359"/>
      <c r="J53" s="1359"/>
      <c r="K53" s="1359"/>
      <c r="L53" s="1359"/>
      <c r="M53" s="1359"/>
      <c r="N53" s="1359"/>
      <c r="O53" s="1359"/>
      <c r="P53" s="1359"/>
      <c r="Q53" s="1360"/>
      <c r="R53" s="1156"/>
      <c r="S53" s="823"/>
      <c r="T53" s="1156"/>
      <c r="U53" s="823"/>
      <c r="V53" s="823"/>
      <c r="W53" s="823"/>
      <c r="X53" s="823"/>
      <c r="Y53" s="823"/>
      <c r="Z53" s="823"/>
      <c r="AA53" s="823"/>
      <c r="AB53" s="833"/>
      <c r="AC53" s="823"/>
      <c r="AD53" s="823"/>
      <c r="AE53" s="823"/>
      <c r="AF53" s="823"/>
      <c r="AG53" s="823"/>
      <c r="AH53" s="823"/>
      <c r="AI53" s="823"/>
      <c r="AJ53" s="823"/>
      <c r="AK53" s="823"/>
      <c r="AL53" s="823"/>
      <c r="AM53" s="823"/>
      <c r="AN53" s="823"/>
      <c r="AO53" s="823"/>
      <c r="AP53" s="823"/>
    </row>
    <row r="54" spans="1:42">
      <c r="A54" s="823"/>
      <c r="B54" s="1142" t="s">
        <v>857</v>
      </c>
      <c r="C54" s="1142"/>
      <c r="D54" s="1358"/>
      <c r="E54" s="1359"/>
      <c r="F54" s="1359"/>
      <c r="G54" s="1359"/>
      <c r="H54" s="1359"/>
      <c r="I54" s="1359"/>
      <c r="J54" s="1359"/>
      <c r="K54" s="1359"/>
      <c r="L54" s="1359"/>
      <c r="M54" s="1359"/>
      <c r="N54" s="1359"/>
      <c r="O54" s="1359"/>
      <c r="P54" s="1359"/>
      <c r="Q54" s="1360"/>
      <c r="R54" s="1156"/>
      <c r="S54" s="823"/>
      <c r="T54" s="1156"/>
      <c r="U54" s="823"/>
      <c r="V54" s="823"/>
      <c r="W54" s="823"/>
      <c r="X54" s="823"/>
      <c r="Y54" s="823"/>
      <c r="Z54" s="823"/>
      <c r="AA54" s="823"/>
      <c r="AB54" s="833"/>
      <c r="AC54" s="823"/>
      <c r="AD54" s="823"/>
      <c r="AE54" s="823"/>
      <c r="AF54" s="823"/>
      <c r="AG54" s="823"/>
      <c r="AH54" s="823"/>
      <c r="AI54" s="823"/>
      <c r="AJ54" s="823"/>
      <c r="AK54" s="823"/>
      <c r="AL54" s="823"/>
      <c r="AM54" s="823"/>
      <c r="AN54" s="823"/>
      <c r="AO54" s="823"/>
      <c r="AP54" s="823"/>
    </row>
    <row r="55" spans="1:42">
      <c r="A55" s="823"/>
      <c r="B55" s="1142" t="s">
        <v>872</v>
      </c>
      <c r="C55" s="1142"/>
      <c r="D55" s="1358"/>
      <c r="E55" s="1359"/>
      <c r="F55" s="1359"/>
      <c r="G55" s="1359"/>
      <c r="H55" s="1359"/>
      <c r="I55" s="1359"/>
      <c r="J55" s="1359"/>
      <c r="K55" s="1359"/>
      <c r="L55" s="1359"/>
      <c r="M55" s="1359"/>
      <c r="N55" s="1359"/>
      <c r="O55" s="1359"/>
      <c r="P55" s="1359"/>
      <c r="Q55" s="1360"/>
      <c r="R55" s="1156"/>
      <c r="S55" s="823"/>
      <c r="T55" s="1156"/>
      <c r="U55" s="823"/>
      <c r="V55" s="823"/>
      <c r="W55" s="823"/>
      <c r="X55" s="823"/>
      <c r="Y55" s="823"/>
      <c r="Z55" s="823"/>
      <c r="AA55" s="823"/>
      <c r="AB55" s="833"/>
      <c r="AC55" s="823"/>
      <c r="AD55" s="823"/>
      <c r="AE55" s="823"/>
      <c r="AF55" s="823"/>
      <c r="AG55" s="823"/>
      <c r="AH55" s="823"/>
      <c r="AI55" s="823"/>
      <c r="AJ55" s="823"/>
      <c r="AK55" s="823"/>
      <c r="AL55" s="823"/>
      <c r="AM55" s="823"/>
      <c r="AN55" s="823"/>
      <c r="AO55" s="823"/>
      <c r="AP55" s="823"/>
    </row>
    <row r="56" spans="1:42">
      <c r="A56" s="823"/>
      <c r="B56" s="1142" t="s">
        <v>864</v>
      </c>
      <c r="C56" s="1142"/>
      <c r="D56" s="1358"/>
      <c r="E56" s="1359"/>
      <c r="F56" s="1359"/>
      <c r="G56" s="1359"/>
      <c r="H56" s="1359"/>
      <c r="I56" s="1359"/>
      <c r="J56" s="1359"/>
      <c r="K56" s="1359"/>
      <c r="L56" s="1359"/>
      <c r="M56" s="1359"/>
      <c r="N56" s="1359"/>
      <c r="O56" s="1359"/>
      <c r="P56" s="1359"/>
      <c r="Q56" s="1360"/>
      <c r="R56" s="1156"/>
      <c r="S56" s="823"/>
      <c r="T56" s="1156"/>
      <c r="U56" s="823"/>
      <c r="V56" s="823"/>
      <c r="W56" s="823"/>
      <c r="X56" s="823"/>
      <c r="Y56" s="823"/>
      <c r="Z56" s="823"/>
      <c r="AA56" s="823"/>
      <c r="AB56" s="833"/>
      <c r="AC56" s="823"/>
      <c r="AD56" s="823"/>
      <c r="AE56" s="823"/>
      <c r="AF56" s="823"/>
      <c r="AG56" s="823"/>
      <c r="AH56" s="823"/>
      <c r="AI56" s="823"/>
      <c r="AJ56" s="823"/>
      <c r="AK56" s="823"/>
      <c r="AL56" s="823"/>
      <c r="AM56" s="823"/>
      <c r="AN56" s="823"/>
      <c r="AO56" s="823"/>
      <c r="AP56" s="823"/>
    </row>
    <row r="57" spans="1:42">
      <c r="A57" s="823"/>
      <c r="B57" s="1142" t="s">
        <v>867</v>
      </c>
      <c r="C57" s="1142"/>
      <c r="D57" s="1358"/>
      <c r="E57" s="1359"/>
      <c r="F57" s="1359"/>
      <c r="G57" s="1359"/>
      <c r="H57" s="1359"/>
      <c r="I57" s="1359"/>
      <c r="J57" s="1359"/>
      <c r="K57" s="1359"/>
      <c r="L57" s="1359"/>
      <c r="M57" s="1359"/>
      <c r="N57" s="1359"/>
      <c r="O57" s="1359"/>
      <c r="P57" s="1359"/>
      <c r="Q57" s="1360"/>
      <c r="R57" s="1156"/>
      <c r="S57" s="823"/>
      <c r="T57" s="1156"/>
      <c r="U57" s="823"/>
      <c r="V57" s="823"/>
      <c r="W57" s="823"/>
      <c r="X57" s="823"/>
      <c r="Y57" s="823"/>
      <c r="Z57" s="823"/>
      <c r="AA57" s="823"/>
      <c r="AB57" s="833"/>
      <c r="AC57" s="823"/>
      <c r="AD57" s="823"/>
      <c r="AE57" s="823"/>
      <c r="AF57" s="823"/>
      <c r="AG57" s="823"/>
      <c r="AH57" s="823"/>
      <c r="AI57" s="823"/>
      <c r="AJ57" s="823"/>
      <c r="AK57" s="823"/>
      <c r="AL57" s="823"/>
      <c r="AM57" s="823"/>
      <c r="AN57" s="823"/>
      <c r="AO57" s="823"/>
      <c r="AP57" s="823"/>
    </row>
    <row r="58" spans="1:42">
      <c r="A58" s="823"/>
      <c r="B58" s="1135"/>
      <c r="C58" s="1135"/>
      <c r="D58" s="823"/>
      <c r="E58" s="823"/>
      <c r="F58" s="823"/>
      <c r="G58" s="823"/>
      <c r="H58" s="823"/>
      <c r="I58" s="823"/>
      <c r="J58" s="823"/>
      <c r="K58" s="823"/>
      <c r="L58" s="823"/>
      <c r="M58" s="823"/>
      <c r="N58" s="823"/>
      <c r="O58" s="823"/>
      <c r="P58" s="823"/>
      <c r="Q58" s="823"/>
      <c r="R58" s="823"/>
      <c r="S58" s="823"/>
      <c r="T58" s="823"/>
      <c r="U58" s="823"/>
      <c r="V58" s="823"/>
      <c r="W58" s="823"/>
      <c r="X58" s="823"/>
      <c r="Y58" s="823"/>
      <c r="Z58" s="823"/>
      <c r="AA58" s="823"/>
      <c r="AB58" s="833"/>
      <c r="AC58" s="823"/>
      <c r="AD58" s="823"/>
      <c r="AE58" s="823"/>
      <c r="AF58" s="823"/>
      <c r="AG58" s="823"/>
      <c r="AH58" s="823"/>
      <c r="AI58" s="823"/>
      <c r="AJ58" s="823"/>
      <c r="AK58" s="823"/>
      <c r="AL58" s="823"/>
      <c r="AM58" s="823"/>
      <c r="AN58" s="823"/>
      <c r="AO58" s="823"/>
      <c r="AP58" s="823"/>
    </row>
    <row r="59" spans="1:42">
      <c r="A59" s="823"/>
      <c r="B59" s="1135"/>
      <c r="C59" s="1135"/>
      <c r="D59" s="1155" t="s">
        <v>795</v>
      </c>
      <c r="E59" s="1155"/>
      <c r="S59" s="823"/>
      <c r="T59" s="1144" t="s">
        <v>711</v>
      </c>
      <c r="U59" s="1145" t="s">
        <v>711</v>
      </c>
      <c r="V59" s="1145" t="s">
        <v>711</v>
      </c>
      <c r="W59" s="1145" t="s">
        <v>711</v>
      </c>
      <c r="X59" s="1145" t="s">
        <v>711</v>
      </c>
      <c r="Y59" s="1145" t="s">
        <v>711</v>
      </c>
      <c r="Z59" s="1145" t="s">
        <v>711</v>
      </c>
      <c r="AA59" s="1146" t="s">
        <v>711</v>
      </c>
      <c r="AB59" s="1147" t="s">
        <v>711</v>
      </c>
      <c r="AC59" s="1145" t="s">
        <v>711</v>
      </c>
      <c r="AD59" s="823"/>
      <c r="AE59" s="823"/>
      <c r="AF59" s="823"/>
      <c r="AG59" s="823"/>
      <c r="AH59" s="823"/>
      <c r="AI59" s="823"/>
      <c r="AJ59" s="823"/>
      <c r="AK59" s="823"/>
      <c r="AL59" s="823"/>
      <c r="AM59" s="823"/>
      <c r="AN59" s="823"/>
      <c r="AO59" s="823"/>
      <c r="AP59" s="823"/>
    </row>
    <row r="60" spans="1:42">
      <c r="A60" s="823"/>
      <c r="B60" s="1135"/>
      <c r="C60" s="1135"/>
      <c r="D60" s="1367" t="s">
        <v>869</v>
      </c>
      <c r="E60" s="1367"/>
      <c r="F60" s="1367"/>
      <c r="G60" s="1367"/>
      <c r="H60" s="1367"/>
      <c r="I60" s="1367"/>
      <c r="J60" s="1367"/>
      <c r="K60" s="1367"/>
      <c r="L60" s="1367"/>
      <c r="M60" s="1367"/>
      <c r="N60" s="1367"/>
      <c r="O60" s="1367"/>
      <c r="P60" s="1367"/>
      <c r="Q60" s="1367"/>
      <c r="R60" s="1367"/>
      <c r="S60" s="823"/>
      <c r="T60" s="766">
        <v>6573.8163318594234</v>
      </c>
      <c r="U60" s="826">
        <v>6724.3492342257887</v>
      </c>
      <c r="V60" s="826">
        <v>7074.272281979197</v>
      </c>
      <c r="W60" s="826">
        <v>6903.6423017448724</v>
      </c>
      <c r="X60" s="826">
        <v>7056.040898850988</v>
      </c>
      <c r="Y60" s="826">
        <v>6671.6808151083587</v>
      </c>
      <c r="Z60" s="826">
        <v>6690.3313474791921</v>
      </c>
      <c r="AA60" s="827">
        <v>5862.7033958211505</v>
      </c>
      <c r="AB60" s="828">
        <v>4821.8764616998169</v>
      </c>
      <c r="AC60" s="826">
        <v>4331.006066235801</v>
      </c>
      <c r="AD60" s="823"/>
      <c r="AE60" s="823"/>
      <c r="AF60" s="823"/>
      <c r="AG60" s="823"/>
      <c r="AH60" s="823"/>
      <c r="AI60" s="823"/>
      <c r="AJ60" s="823"/>
      <c r="AK60" s="823"/>
      <c r="AL60" s="823"/>
      <c r="AM60" s="823"/>
      <c r="AN60" s="823"/>
      <c r="AO60" s="823"/>
      <c r="AP60" s="823"/>
    </row>
    <row r="61" spans="1:42">
      <c r="A61" s="823"/>
      <c r="B61" s="1135"/>
      <c r="C61" s="1135"/>
      <c r="D61" s="1367" t="s">
        <v>873</v>
      </c>
      <c r="E61" s="1367"/>
      <c r="F61" s="1367"/>
      <c r="G61" s="1367"/>
      <c r="H61" s="1367"/>
      <c r="I61" s="1367"/>
      <c r="J61" s="1367"/>
      <c r="K61" s="1367"/>
      <c r="L61" s="1367"/>
      <c r="M61" s="1367"/>
      <c r="N61" s="1367"/>
      <c r="O61" s="1367"/>
      <c r="P61" s="1367"/>
      <c r="Q61" s="1367"/>
      <c r="R61" s="1367"/>
      <c r="S61" s="823"/>
      <c r="T61" s="90">
        <v>0</v>
      </c>
      <c r="U61" s="90">
        <v>0</v>
      </c>
      <c r="V61" s="90">
        <v>0</v>
      </c>
      <c r="W61" s="90">
        <v>0</v>
      </c>
      <c r="X61" s="90">
        <v>0</v>
      </c>
      <c r="Y61" s="90">
        <v>0</v>
      </c>
      <c r="Z61" s="90">
        <v>0</v>
      </c>
      <c r="AA61" s="90">
        <v>0</v>
      </c>
      <c r="AB61" s="90">
        <v>0</v>
      </c>
      <c r="AC61" s="90">
        <v>0</v>
      </c>
      <c r="AD61" s="823"/>
      <c r="AE61" s="823"/>
      <c r="AF61" s="823"/>
      <c r="AG61" s="823"/>
      <c r="AH61" s="823"/>
      <c r="AI61" s="823"/>
      <c r="AJ61" s="823"/>
      <c r="AK61" s="823"/>
      <c r="AL61" s="823"/>
      <c r="AM61" s="823"/>
      <c r="AN61" s="823"/>
      <c r="AO61" s="823"/>
      <c r="AP61" s="823"/>
    </row>
    <row r="62" spans="1:42" ht="12.75" customHeight="1">
      <c r="A62" s="823"/>
      <c r="B62" s="1135"/>
      <c r="C62" s="1135"/>
      <c r="D62" s="1367" t="s">
        <v>874</v>
      </c>
      <c r="E62" s="1367"/>
      <c r="F62" s="1367"/>
      <c r="G62" s="1367"/>
      <c r="H62" s="1367"/>
      <c r="I62" s="1367"/>
      <c r="J62" s="1367"/>
      <c r="K62" s="1367"/>
      <c r="L62" s="1367"/>
      <c r="M62" s="1367"/>
      <c r="N62" s="1367"/>
      <c r="O62" s="1367"/>
      <c r="P62" s="1367"/>
      <c r="Q62" s="1367"/>
      <c r="R62" s="1367"/>
      <c r="S62" s="823"/>
      <c r="T62" s="90">
        <v>0</v>
      </c>
      <c r="U62" s="90">
        <v>0</v>
      </c>
      <c r="V62" s="90">
        <v>0</v>
      </c>
      <c r="W62" s="90">
        <v>0</v>
      </c>
      <c r="X62" s="90">
        <v>0</v>
      </c>
      <c r="Y62" s="90">
        <v>0</v>
      </c>
      <c r="Z62" s="90">
        <v>0</v>
      </c>
      <c r="AA62" s="90">
        <v>0</v>
      </c>
      <c r="AB62" s="90">
        <v>0</v>
      </c>
      <c r="AC62" s="90">
        <v>0</v>
      </c>
      <c r="AD62" s="823"/>
      <c r="AE62" s="823"/>
      <c r="AF62" s="823"/>
      <c r="AG62" s="823"/>
      <c r="AH62" s="823"/>
      <c r="AI62" s="823"/>
      <c r="AJ62" s="823"/>
      <c r="AK62" s="823"/>
      <c r="AL62" s="823"/>
      <c r="AM62" s="823"/>
      <c r="AN62" s="823"/>
      <c r="AO62" s="823"/>
      <c r="AP62" s="823"/>
    </row>
    <row r="63" spans="1:42" ht="12.75" customHeight="1">
      <c r="A63" s="823"/>
      <c r="B63" s="1135"/>
      <c r="C63" s="1135"/>
      <c r="D63" s="1367" t="s">
        <v>875</v>
      </c>
      <c r="E63" s="1367"/>
      <c r="F63" s="1367"/>
      <c r="G63" s="1367"/>
      <c r="H63" s="1367"/>
      <c r="I63" s="1367"/>
      <c r="J63" s="1367"/>
      <c r="K63" s="1367"/>
      <c r="L63" s="1367"/>
      <c r="M63" s="1367"/>
      <c r="N63" s="1367"/>
      <c r="O63" s="1367"/>
      <c r="P63" s="1367"/>
      <c r="Q63" s="1367"/>
      <c r="R63" s="1367"/>
      <c r="S63" s="823"/>
      <c r="T63" s="90">
        <v>0</v>
      </c>
      <c r="U63" s="90">
        <v>0</v>
      </c>
      <c r="V63" s="90">
        <v>0</v>
      </c>
      <c r="W63" s="90">
        <v>0</v>
      </c>
      <c r="X63" s="90">
        <v>0</v>
      </c>
      <c r="Y63" s="90">
        <v>0</v>
      </c>
      <c r="Z63" s="90">
        <v>0</v>
      </c>
      <c r="AA63" s="90">
        <v>0</v>
      </c>
      <c r="AB63" s="90">
        <v>0</v>
      </c>
      <c r="AC63" s="90">
        <v>0</v>
      </c>
      <c r="AD63" s="823"/>
      <c r="AE63" s="823"/>
      <c r="AF63" s="823"/>
      <c r="AG63" s="823"/>
      <c r="AH63" s="823"/>
      <c r="AI63" s="823"/>
      <c r="AJ63" s="823"/>
      <c r="AK63" s="823"/>
      <c r="AL63" s="823"/>
      <c r="AM63" s="823"/>
      <c r="AN63" s="823"/>
      <c r="AO63" s="823"/>
      <c r="AP63" s="823"/>
    </row>
    <row r="64" spans="1:42" ht="12.75" customHeight="1">
      <c r="A64" s="823"/>
      <c r="B64" s="1135"/>
      <c r="C64" s="1135"/>
      <c r="D64" s="1367" t="s">
        <v>876</v>
      </c>
      <c r="E64" s="1367"/>
      <c r="F64" s="1367"/>
      <c r="G64" s="1367"/>
      <c r="H64" s="1367"/>
      <c r="I64" s="1367"/>
      <c r="J64" s="1367"/>
      <c r="K64" s="1367"/>
      <c r="L64" s="1367"/>
      <c r="M64" s="1367"/>
      <c r="N64" s="1367"/>
      <c r="O64" s="1367"/>
      <c r="P64" s="1367"/>
      <c r="Q64" s="1367"/>
      <c r="R64" s="1367"/>
      <c r="S64" s="823"/>
      <c r="T64" s="90">
        <v>0</v>
      </c>
      <c r="U64" s="90">
        <v>0</v>
      </c>
      <c r="V64" s="90">
        <v>0</v>
      </c>
      <c r="W64" s="90">
        <v>0</v>
      </c>
      <c r="X64" s="90">
        <v>0</v>
      </c>
      <c r="Y64" s="90">
        <v>0</v>
      </c>
      <c r="Z64" s="90">
        <v>0</v>
      </c>
      <c r="AA64" s="90">
        <v>0</v>
      </c>
      <c r="AB64" s="90">
        <v>0</v>
      </c>
      <c r="AC64" s="90">
        <v>0</v>
      </c>
      <c r="AD64" s="823"/>
      <c r="AE64" s="823"/>
      <c r="AF64" s="823"/>
      <c r="AG64" s="823"/>
      <c r="AH64" s="823"/>
      <c r="AI64" s="823"/>
      <c r="AJ64" s="823"/>
      <c r="AK64" s="823"/>
      <c r="AL64" s="823"/>
      <c r="AM64" s="823"/>
      <c r="AN64" s="823"/>
      <c r="AO64" s="823"/>
      <c r="AP64" s="823"/>
    </row>
    <row r="65" spans="1:42" ht="12.75" customHeight="1">
      <c r="A65" s="823"/>
      <c r="B65" s="1135"/>
      <c r="C65" s="1276"/>
      <c r="D65" s="1367" t="s">
        <v>877</v>
      </c>
      <c r="E65" s="1367"/>
      <c r="F65" s="1367"/>
      <c r="G65" s="1367"/>
      <c r="H65" s="1367"/>
      <c r="I65" s="1367"/>
      <c r="J65" s="1367"/>
      <c r="K65" s="1367"/>
      <c r="L65" s="1367"/>
      <c r="M65" s="1367"/>
      <c r="N65" s="1367"/>
      <c r="O65" s="1367"/>
      <c r="P65" s="1367"/>
      <c r="Q65" s="1367"/>
      <c r="R65" s="1367"/>
      <c r="S65" s="823"/>
      <c r="T65" s="90">
        <v>0</v>
      </c>
      <c r="U65" s="90">
        <v>0</v>
      </c>
      <c r="V65" s="90">
        <v>0</v>
      </c>
      <c r="W65" s="90">
        <v>0</v>
      </c>
      <c r="X65" s="90">
        <v>0</v>
      </c>
      <c r="Y65" s="90">
        <v>0</v>
      </c>
      <c r="Z65" s="90">
        <v>0</v>
      </c>
      <c r="AA65" s="90">
        <v>0</v>
      </c>
      <c r="AB65" s="90">
        <v>0</v>
      </c>
      <c r="AC65" s="90">
        <v>0</v>
      </c>
      <c r="AD65" s="823"/>
      <c r="AE65" s="823"/>
      <c r="AF65" s="823"/>
      <c r="AG65" s="823"/>
      <c r="AH65" s="823"/>
      <c r="AI65" s="823"/>
      <c r="AJ65" s="823"/>
      <c r="AK65" s="823"/>
      <c r="AL65" s="823"/>
      <c r="AM65" s="823"/>
      <c r="AN65" s="823"/>
      <c r="AO65" s="823"/>
      <c r="AP65" s="823"/>
    </row>
    <row r="66" spans="1:42" ht="12.75" customHeight="1">
      <c r="A66" s="823"/>
      <c r="B66" s="1135"/>
      <c r="C66" s="1135"/>
      <c r="D66" s="1369" t="s">
        <v>1242</v>
      </c>
      <c r="E66" s="1370"/>
      <c r="F66" s="1370"/>
      <c r="G66" s="1370"/>
      <c r="H66" s="1370"/>
      <c r="I66" s="1370"/>
      <c r="J66" s="1370"/>
      <c r="K66" s="1370"/>
      <c r="L66" s="1370"/>
      <c r="M66" s="1370"/>
      <c r="N66" s="1370"/>
      <c r="O66" s="1370"/>
      <c r="P66" s="1370"/>
      <c r="Q66" s="1370"/>
      <c r="R66" s="1371"/>
      <c r="S66" s="823"/>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3"/>
      <c r="AE66" s="823"/>
      <c r="AF66" s="823"/>
      <c r="AG66" s="823"/>
      <c r="AH66" s="823"/>
      <c r="AI66" s="823"/>
      <c r="AJ66" s="823"/>
      <c r="AK66" s="823"/>
      <c r="AL66" s="823"/>
      <c r="AM66" s="823"/>
      <c r="AN66" s="823"/>
      <c r="AO66" s="823"/>
      <c r="AP66" s="823"/>
    </row>
    <row r="67" spans="1:42" ht="12.75" customHeight="1">
      <c r="A67" s="823"/>
      <c r="B67" s="1135"/>
      <c r="C67" s="1135"/>
      <c r="D67" s="1369" t="s">
        <v>1243</v>
      </c>
      <c r="E67" s="1370"/>
      <c r="F67" s="1370"/>
      <c r="G67" s="1370"/>
      <c r="H67" s="1370"/>
      <c r="I67" s="1370"/>
      <c r="J67" s="1370"/>
      <c r="K67" s="1370"/>
      <c r="L67" s="1370"/>
      <c r="M67" s="1370"/>
      <c r="N67" s="1370"/>
      <c r="O67" s="1370"/>
      <c r="P67" s="1370"/>
      <c r="Q67" s="1370"/>
      <c r="R67" s="1371"/>
      <c r="S67" s="823"/>
      <c r="T67" s="90">
        <v>3.5</v>
      </c>
      <c r="U67" s="90">
        <v>2.75</v>
      </c>
      <c r="V67" s="90">
        <v>1.9035324566289009</v>
      </c>
      <c r="W67" s="90">
        <v>1.1117474341389915</v>
      </c>
      <c r="X67" s="90">
        <v>0.31996241164908157</v>
      </c>
      <c r="Y67" s="90">
        <v>0</v>
      </c>
      <c r="Z67" s="90">
        <v>0</v>
      </c>
      <c r="AA67" s="90">
        <v>0</v>
      </c>
      <c r="AB67" s="90">
        <v>0</v>
      </c>
      <c r="AC67" s="90">
        <v>0</v>
      </c>
      <c r="AD67" s="823"/>
      <c r="AE67" s="823"/>
      <c r="AF67" s="823"/>
      <c r="AG67" s="823"/>
      <c r="AH67" s="823"/>
      <c r="AI67" s="823"/>
      <c r="AJ67" s="823"/>
      <c r="AK67" s="823"/>
      <c r="AL67" s="823"/>
      <c r="AM67" s="823"/>
      <c r="AN67" s="823"/>
      <c r="AO67" s="823"/>
      <c r="AP67" s="823"/>
    </row>
    <row r="68" spans="1:42" ht="12.75" customHeight="1">
      <c r="A68" s="823"/>
      <c r="B68" s="1135"/>
      <c r="C68" s="1135"/>
      <c r="D68" s="1369" t="s">
        <v>1244</v>
      </c>
      <c r="E68" s="1370"/>
      <c r="F68" s="1370"/>
      <c r="G68" s="1370"/>
      <c r="H68" s="1370"/>
      <c r="I68" s="1370"/>
      <c r="J68" s="1370"/>
      <c r="K68" s="1370"/>
      <c r="L68" s="1370"/>
      <c r="M68" s="1370"/>
      <c r="N68" s="1370"/>
      <c r="O68" s="1370"/>
      <c r="P68" s="1370"/>
      <c r="Q68" s="1370"/>
      <c r="R68" s="1371"/>
      <c r="S68" s="823"/>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3"/>
      <c r="AE68" s="823"/>
      <c r="AF68" s="823"/>
      <c r="AG68" s="823"/>
      <c r="AH68" s="823"/>
      <c r="AI68" s="823"/>
      <c r="AJ68" s="823"/>
      <c r="AK68" s="823"/>
      <c r="AL68" s="823"/>
      <c r="AM68" s="823"/>
      <c r="AN68" s="823"/>
      <c r="AO68" s="823"/>
      <c r="AP68" s="823"/>
    </row>
    <row r="69" spans="1:42" ht="12.75" customHeight="1">
      <c r="A69" s="823"/>
      <c r="B69" s="1135"/>
      <c r="C69" s="1135"/>
      <c r="D69" s="1369" t="s">
        <v>1245</v>
      </c>
      <c r="E69" s="1370"/>
      <c r="F69" s="1370"/>
      <c r="G69" s="1370"/>
      <c r="H69" s="1370"/>
      <c r="I69" s="1370"/>
      <c r="J69" s="1370"/>
      <c r="K69" s="1370"/>
      <c r="L69" s="1370"/>
      <c r="M69" s="1370"/>
      <c r="N69" s="1370"/>
      <c r="O69" s="1370"/>
      <c r="P69" s="1370"/>
      <c r="Q69" s="1370"/>
      <c r="R69" s="1371"/>
      <c r="S69" s="823"/>
      <c r="T69" s="90">
        <v>-5500.0406665103374</v>
      </c>
      <c r="U69" s="90">
        <v>-5765.8495136020483</v>
      </c>
      <c r="V69" s="90">
        <v>-6124.851680311077</v>
      </c>
      <c r="W69" s="90">
        <v>-6027.7470030256072</v>
      </c>
      <c r="X69" s="90">
        <v>-6185.1964632075005</v>
      </c>
      <c r="Y69" s="90">
        <v>-5903.7248739690922</v>
      </c>
      <c r="Z69" s="90">
        <v>-5941.2742839372413</v>
      </c>
      <c r="AA69" s="90">
        <v>-5277.4473853750178</v>
      </c>
      <c r="AB69" s="90">
        <v>-4433.387269939526</v>
      </c>
      <c r="AC69" s="90">
        <v>-4030.558980357298</v>
      </c>
      <c r="AD69" s="823"/>
      <c r="AE69" s="823"/>
      <c r="AF69" s="823"/>
      <c r="AG69" s="823"/>
      <c r="AH69" s="823"/>
      <c r="AI69" s="823"/>
      <c r="AJ69" s="823"/>
      <c r="AK69" s="823"/>
      <c r="AL69" s="823"/>
      <c r="AM69" s="823"/>
      <c r="AN69" s="823"/>
      <c r="AO69" s="823"/>
      <c r="AP69" s="823"/>
    </row>
    <row r="70" spans="1:42" ht="12.75" customHeight="1">
      <c r="A70" s="823"/>
      <c r="B70" s="1135"/>
      <c r="C70" s="1135"/>
      <c r="D70" s="1369" t="s">
        <v>836</v>
      </c>
      <c r="E70" s="1370"/>
      <c r="F70" s="1370"/>
      <c r="G70" s="1370"/>
      <c r="H70" s="1370"/>
      <c r="I70" s="1370"/>
      <c r="J70" s="1370"/>
      <c r="K70" s="1370"/>
      <c r="L70" s="1370"/>
      <c r="M70" s="1370"/>
      <c r="N70" s="1370"/>
      <c r="O70" s="1370"/>
      <c r="P70" s="1370"/>
      <c r="Q70" s="1370"/>
      <c r="R70" s="1371"/>
      <c r="S70" s="823"/>
      <c r="T70" s="90">
        <v>0</v>
      </c>
      <c r="U70" s="90">
        <v>0</v>
      </c>
      <c r="V70" s="90">
        <v>0</v>
      </c>
      <c r="W70" s="90">
        <v>0</v>
      </c>
      <c r="X70" s="90">
        <v>0</v>
      </c>
      <c r="Y70" s="90">
        <v>0</v>
      </c>
      <c r="Z70" s="90">
        <v>0</v>
      </c>
      <c r="AA70" s="90">
        <v>0</v>
      </c>
      <c r="AB70" s="90">
        <v>0</v>
      </c>
      <c r="AC70" s="90">
        <v>0</v>
      </c>
      <c r="AD70" s="823"/>
      <c r="AE70" s="823"/>
      <c r="AF70" s="823"/>
      <c r="AG70" s="823"/>
      <c r="AH70" s="823"/>
      <c r="AI70" s="823"/>
      <c r="AJ70" s="823"/>
      <c r="AK70" s="823"/>
      <c r="AL70" s="823"/>
      <c r="AM70" s="823"/>
      <c r="AN70" s="823"/>
      <c r="AO70" s="823"/>
      <c r="AP70" s="823"/>
    </row>
    <row r="71" spans="1:42" ht="12.75" customHeight="1">
      <c r="A71" s="823"/>
      <c r="B71" s="1135"/>
      <c r="C71" s="1135"/>
      <c r="D71" s="1369" t="s">
        <v>837</v>
      </c>
      <c r="E71" s="1370"/>
      <c r="F71" s="1370"/>
      <c r="G71" s="1370"/>
      <c r="H71" s="1370"/>
      <c r="I71" s="1370"/>
      <c r="J71" s="1370"/>
      <c r="K71" s="1370"/>
      <c r="L71" s="1370"/>
      <c r="M71" s="1370"/>
      <c r="N71" s="1370"/>
      <c r="O71" s="1370"/>
      <c r="P71" s="1370"/>
      <c r="Q71" s="1370"/>
      <c r="R71" s="1371"/>
      <c r="S71" s="823"/>
      <c r="T71" s="90">
        <v>0</v>
      </c>
      <c r="U71" s="90">
        <v>0</v>
      </c>
      <c r="V71" s="90">
        <v>0</v>
      </c>
      <c r="W71" s="90">
        <v>0</v>
      </c>
      <c r="X71" s="90">
        <v>0</v>
      </c>
      <c r="Y71" s="90">
        <v>0</v>
      </c>
      <c r="Z71" s="90">
        <v>0</v>
      </c>
      <c r="AA71" s="90">
        <v>0</v>
      </c>
      <c r="AB71" s="90">
        <v>0</v>
      </c>
      <c r="AC71" s="90">
        <v>0</v>
      </c>
      <c r="AD71" s="823"/>
      <c r="AE71" s="823"/>
      <c r="AF71" s="823"/>
      <c r="AG71" s="823"/>
      <c r="AH71" s="823"/>
      <c r="AI71" s="823"/>
      <c r="AJ71" s="823"/>
      <c r="AK71" s="823"/>
      <c r="AL71" s="823"/>
      <c r="AM71" s="823"/>
      <c r="AN71" s="823"/>
      <c r="AO71" s="823"/>
      <c r="AP71" s="823"/>
    </row>
    <row r="72" spans="1:42" ht="12.75" customHeight="1">
      <c r="A72" s="823"/>
      <c r="B72" s="1135"/>
      <c r="C72" s="1135"/>
      <c r="D72" s="1369" t="s">
        <v>838</v>
      </c>
      <c r="E72" s="1370"/>
      <c r="F72" s="1370"/>
      <c r="G72" s="1370"/>
      <c r="H72" s="1370"/>
      <c r="I72" s="1370"/>
      <c r="J72" s="1370"/>
      <c r="K72" s="1370"/>
      <c r="L72" s="1370"/>
      <c r="M72" s="1370"/>
      <c r="N72" s="1370"/>
      <c r="O72" s="1370"/>
      <c r="P72" s="1370"/>
      <c r="Q72" s="1370"/>
      <c r="R72" s="1371"/>
      <c r="S72" s="823"/>
      <c r="T72" s="90">
        <v>0</v>
      </c>
      <c r="U72" s="90">
        <v>0</v>
      </c>
      <c r="V72" s="90">
        <v>0</v>
      </c>
      <c r="W72" s="90">
        <v>0</v>
      </c>
      <c r="X72" s="90">
        <v>0</v>
      </c>
      <c r="Y72" s="90">
        <v>0</v>
      </c>
      <c r="Z72" s="90">
        <v>0</v>
      </c>
      <c r="AA72" s="90">
        <v>0</v>
      </c>
      <c r="AB72" s="90">
        <v>0</v>
      </c>
      <c r="AC72" s="90">
        <v>0</v>
      </c>
      <c r="AD72" s="823"/>
      <c r="AE72" s="823"/>
      <c r="AF72" s="823"/>
      <c r="AG72" s="823"/>
      <c r="AH72" s="823"/>
      <c r="AI72" s="823"/>
      <c r="AJ72" s="823"/>
      <c r="AK72" s="823"/>
      <c r="AL72" s="823"/>
      <c r="AM72" s="823"/>
      <c r="AN72" s="823"/>
      <c r="AO72" s="823"/>
      <c r="AP72" s="823"/>
    </row>
    <row r="73" spans="1:42" ht="12.75" customHeight="1">
      <c r="A73" s="823"/>
      <c r="B73" s="1135"/>
      <c r="C73" s="1135"/>
      <c r="D73" s="1369" t="s">
        <v>807</v>
      </c>
      <c r="E73" s="1370"/>
      <c r="F73" s="1370"/>
      <c r="G73" s="1370"/>
      <c r="H73" s="1370"/>
      <c r="I73" s="1370"/>
      <c r="J73" s="1370"/>
      <c r="K73" s="1370"/>
      <c r="L73" s="1370"/>
      <c r="M73" s="1370"/>
      <c r="N73" s="1370"/>
      <c r="O73" s="1370"/>
      <c r="P73" s="1370"/>
      <c r="Q73" s="1370"/>
      <c r="R73" s="1371"/>
      <c r="S73" s="823"/>
      <c r="T73" s="90">
        <v>0</v>
      </c>
      <c r="U73" s="90">
        <v>0</v>
      </c>
      <c r="V73" s="90">
        <v>0</v>
      </c>
      <c r="W73" s="90">
        <v>0</v>
      </c>
      <c r="X73" s="90">
        <v>0</v>
      </c>
      <c r="Y73" s="90">
        <v>0</v>
      </c>
      <c r="Z73" s="90">
        <v>0</v>
      </c>
      <c r="AA73" s="90">
        <v>0</v>
      </c>
      <c r="AB73" s="90">
        <v>0</v>
      </c>
      <c r="AC73" s="90">
        <v>0</v>
      </c>
      <c r="AD73" s="823"/>
      <c r="AE73" s="823"/>
      <c r="AF73" s="823"/>
      <c r="AG73" s="823"/>
      <c r="AH73" s="823"/>
      <c r="AI73" s="823"/>
      <c r="AJ73" s="823"/>
      <c r="AK73" s="823"/>
      <c r="AL73" s="823"/>
      <c r="AM73" s="823"/>
      <c r="AN73" s="823"/>
      <c r="AO73" s="823"/>
      <c r="AP73" s="823"/>
    </row>
    <row r="74" spans="1:42" ht="12.75" customHeight="1">
      <c r="A74" s="823"/>
      <c r="B74" s="1135"/>
      <c r="C74" s="1135"/>
      <c r="D74" s="1372" t="s">
        <v>808</v>
      </c>
      <c r="E74" s="1373"/>
      <c r="F74" s="1373"/>
      <c r="G74" s="1373"/>
      <c r="H74" s="1373"/>
      <c r="I74" s="1373"/>
      <c r="J74" s="1373"/>
      <c r="K74" s="1373"/>
      <c r="L74" s="1373"/>
      <c r="M74" s="1373"/>
      <c r="N74" s="1373"/>
      <c r="O74" s="1373"/>
      <c r="P74" s="1373"/>
      <c r="Q74" s="1373"/>
      <c r="R74" s="1374"/>
      <c r="S74" s="823"/>
      <c r="T74" s="90">
        <v>0</v>
      </c>
      <c r="U74" s="90">
        <v>0</v>
      </c>
      <c r="V74" s="90">
        <v>0</v>
      </c>
      <c r="W74" s="90">
        <v>0</v>
      </c>
      <c r="X74" s="90">
        <v>0</v>
      </c>
      <c r="Y74" s="90">
        <v>0</v>
      </c>
      <c r="Z74" s="90">
        <v>0</v>
      </c>
      <c r="AA74" s="90">
        <v>0</v>
      </c>
      <c r="AB74" s="90">
        <v>0</v>
      </c>
      <c r="AC74" s="90">
        <v>0</v>
      </c>
      <c r="AD74" s="823"/>
      <c r="AE74" s="823"/>
      <c r="AF74" s="823"/>
      <c r="AG74" s="823"/>
      <c r="AH74" s="823"/>
      <c r="AI74" s="823"/>
      <c r="AJ74" s="823"/>
      <c r="AK74" s="823"/>
      <c r="AL74" s="823"/>
      <c r="AM74" s="823"/>
      <c r="AN74" s="823"/>
      <c r="AO74" s="823"/>
      <c r="AP74" s="823"/>
    </row>
    <row r="75" spans="1:42" ht="12.75" customHeight="1">
      <c r="A75" s="823"/>
      <c r="B75" s="1135"/>
      <c r="C75" s="1135"/>
      <c r="D75" s="1372" t="s">
        <v>809</v>
      </c>
      <c r="E75" s="1373"/>
      <c r="F75" s="1373"/>
      <c r="G75" s="1373"/>
      <c r="H75" s="1373"/>
      <c r="I75" s="1373"/>
      <c r="J75" s="1373"/>
      <c r="K75" s="1373"/>
      <c r="L75" s="1373"/>
      <c r="M75" s="1373"/>
      <c r="N75" s="1373"/>
      <c r="O75" s="1373"/>
      <c r="P75" s="1373"/>
      <c r="Q75" s="1373"/>
      <c r="R75" s="1374"/>
      <c r="S75" s="823"/>
      <c r="T75" s="90">
        <v>0</v>
      </c>
      <c r="U75" s="90">
        <v>0</v>
      </c>
      <c r="V75" s="90">
        <v>0</v>
      </c>
      <c r="W75" s="90">
        <v>0</v>
      </c>
      <c r="X75" s="90">
        <v>0</v>
      </c>
      <c r="Y75" s="90">
        <v>0</v>
      </c>
      <c r="Z75" s="90">
        <v>0</v>
      </c>
      <c r="AA75" s="90">
        <v>0</v>
      </c>
      <c r="AB75" s="90">
        <v>0</v>
      </c>
      <c r="AC75" s="90">
        <v>0</v>
      </c>
      <c r="AD75" s="823"/>
      <c r="AE75" s="823"/>
      <c r="AF75" s="823"/>
      <c r="AG75" s="823"/>
      <c r="AH75" s="823"/>
      <c r="AI75" s="823"/>
      <c r="AJ75" s="823"/>
      <c r="AK75" s="823"/>
      <c r="AL75" s="823"/>
      <c r="AM75" s="823"/>
      <c r="AN75" s="823"/>
      <c r="AO75" s="823"/>
      <c r="AP75" s="823"/>
    </row>
    <row r="76" spans="1:42" ht="12.75" customHeight="1">
      <c r="A76" s="823"/>
      <c r="B76" s="1135"/>
      <c r="C76" s="1135"/>
      <c r="D76" s="1375" t="s">
        <v>878</v>
      </c>
      <c r="E76" s="1376"/>
      <c r="F76" s="1376"/>
      <c r="G76" s="1376"/>
      <c r="H76" s="1376"/>
      <c r="I76" s="1376"/>
      <c r="J76" s="1376"/>
      <c r="K76" s="1376"/>
      <c r="L76" s="1376"/>
      <c r="M76" s="1376"/>
      <c r="N76" s="1376"/>
      <c r="O76" s="1376"/>
      <c r="P76" s="1376"/>
      <c r="Q76" s="1376"/>
      <c r="R76" s="1377"/>
      <c r="S76" s="823"/>
      <c r="T76" s="90">
        <v>0</v>
      </c>
      <c r="U76" s="90">
        <v>0</v>
      </c>
      <c r="V76" s="90">
        <v>0</v>
      </c>
      <c r="W76" s="90">
        <v>0</v>
      </c>
      <c r="X76" s="90">
        <v>0</v>
      </c>
      <c r="Y76" s="90">
        <v>0</v>
      </c>
      <c r="Z76" s="90">
        <v>0</v>
      </c>
      <c r="AA76" s="90">
        <v>0</v>
      </c>
      <c r="AB76" s="90">
        <v>0</v>
      </c>
      <c r="AC76" s="90">
        <v>0</v>
      </c>
      <c r="AD76" s="823"/>
      <c r="AE76" s="823"/>
      <c r="AF76" s="823"/>
      <c r="AG76" s="823"/>
      <c r="AH76" s="823"/>
      <c r="AI76" s="823"/>
      <c r="AJ76" s="823"/>
      <c r="AK76" s="823"/>
      <c r="AL76" s="823"/>
      <c r="AM76" s="823"/>
      <c r="AN76" s="823"/>
      <c r="AO76" s="823"/>
      <c r="AP76" s="823"/>
    </row>
    <row r="77" spans="1:42">
      <c r="A77" s="823"/>
      <c r="B77" s="1135"/>
      <c r="C77" s="1135"/>
      <c r="D77" s="1368" t="s">
        <v>879</v>
      </c>
      <c r="E77" s="1368"/>
      <c r="F77" s="1368"/>
      <c r="G77" s="1368"/>
      <c r="H77" s="1368"/>
      <c r="I77" s="1368"/>
      <c r="J77" s="1368"/>
      <c r="K77" s="1368"/>
      <c r="L77" s="1368"/>
      <c r="M77" s="1368"/>
      <c r="N77" s="1368"/>
      <c r="O77" s="1368"/>
      <c r="P77" s="1368"/>
      <c r="Q77" s="1368"/>
      <c r="R77" s="1368"/>
      <c r="S77" s="823"/>
      <c r="T77" s="698">
        <v>1214.9306653490867</v>
      </c>
      <c r="U77" s="699">
        <v>1266.2077206237409</v>
      </c>
      <c r="V77" s="699">
        <v>1336.3309354957992</v>
      </c>
      <c r="W77" s="699">
        <v>1308.3369974405059</v>
      </c>
      <c r="X77" s="699">
        <v>1337.1290060891015</v>
      </c>
      <c r="Y77" s="699">
        <v>1276.2798756533157</v>
      </c>
      <c r="Z77" s="699">
        <v>1284.3973874459653</v>
      </c>
      <c r="AA77" s="700">
        <v>1140.8898681020419</v>
      </c>
      <c r="AB77" s="825">
        <v>958.41914628337963</v>
      </c>
      <c r="AC77" s="699">
        <v>871.33486469625359</v>
      </c>
      <c r="AD77" s="823"/>
      <c r="AE77" s="823"/>
      <c r="AF77" s="823"/>
      <c r="AG77" s="823"/>
      <c r="AH77" s="823"/>
      <c r="AI77" s="823"/>
      <c r="AJ77" s="823"/>
      <c r="AK77" s="823"/>
      <c r="AL77" s="823"/>
      <c r="AM77" s="823"/>
      <c r="AN77" s="823"/>
      <c r="AO77" s="823"/>
      <c r="AP77" s="823"/>
    </row>
    <row r="78" spans="1:42">
      <c r="A78" s="823"/>
      <c r="B78" s="1135"/>
      <c r="C78" s="1135"/>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33"/>
      <c r="AC78" s="823"/>
      <c r="AD78" s="823"/>
      <c r="AE78" s="823"/>
      <c r="AF78" s="823"/>
      <c r="AG78" s="823"/>
      <c r="AH78" s="823"/>
      <c r="AI78" s="823"/>
      <c r="AJ78" s="823"/>
      <c r="AK78" s="823"/>
      <c r="AL78" s="823"/>
      <c r="AM78" s="823"/>
      <c r="AN78" s="823"/>
      <c r="AO78" s="823"/>
      <c r="AP78" s="823"/>
    </row>
    <row r="79" spans="1:42">
      <c r="A79" s="823"/>
      <c r="B79" s="1135"/>
      <c r="C79" s="1135"/>
      <c r="D79" s="1130" t="s">
        <v>811</v>
      </c>
      <c r="E79" s="1130"/>
      <c r="F79" s="823"/>
      <c r="G79" s="823"/>
      <c r="H79" s="823"/>
      <c r="I79" s="823"/>
      <c r="J79" s="823"/>
      <c r="K79" s="823"/>
      <c r="L79" s="823"/>
      <c r="M79" s="823"/>
      <c r="N79" s="823"/>
      <c r="O79" s="823"/>
      <c r="P79" s="823"/>
      <c r="Q79" s="823"/>
      <c r="R79" s="823"/>
      <c r="S79" s="823"/>
      <c r="T79" s="823"/>
      <c r="U79" s="823"/>
      <c r="V79" s="823"/>
      <c r="W79" s="823"/>
      <c r="X79" s="823"/>
      <c r="Y79" s="823"/>
      <c r="Z79" s="823"/>
      <c r="AA79" s="823"/>
      <c r="AB79" s="833"/>
      <c r="AC79" s="823"/>
      <c r="AD79" s="823"/>
      <c r="AE79" s="823"/>
      <c r="AF79" s="823"/>
      <c r="AG79" s="823"/>
      <c r="AH79" s="823"/>
      <c r="AI79" s="823"/>
      <c r="AJ79" s="823"/>
      <c r="AK79" s="823"/>
      <c r="AL79" s="823"/>
      <c r="AM79" s="823"/>
      <c r="AN79" s="823"/>
      <c r="AO79" s="823"/>
      <c r="AP79" s="823"/>
    </row>
    <row r="80" spans="1:42">
      <c r="A80" s="823"/>
      <c r="B80" s="1135"/>
      <c r="C80" s="1135"/>
      <c r="D80" s="823" t="s">
        <v>812</v>
      </c>
      <c r="E80" s="823"/>
      <c r="F80" s="823"/>
      <c r="G80" s="823"/>
      <c r="H80" s="823"/>
      <c r="I80" s="823"/>
      <c r="J80" s="823"/>
      <c r="K80" s="823"/>
      <c r="L80" s="823"/>
      <c r="M80" s="823"/>
      <c r="N80" s="823"/>
      <c r="O80" s="823"/>
      <c r="P80" s="823"/>
      <c r="Q80" s="823"/>
      <c r="R80" s="823"/>
      <c r="S80" s="823"/>
      <c r="T80" s="90">
        <v>0</v>
      </c>
      <c r="U80" s="90">
        <v>0</v>
      </c>
      <c r="V80" s="90">
        <v>0</v>
      </c>
      <c r="W80" s="90">
        <v>0</v>
      </c>
      <c r="X80" s="90">
        <v>0</v>
      </c>
      <c r="Y80" s="90">
        <v>0</v>
      </c>
      <c r="Z80" s="90">
        <v>0</v>
      </c>
      <c r="AA80" s="90">
        <v>0</v>
      </c>
      <c r="AB80" s="90">
        <v>0</v>
      </c>
      <c r="AC80" s="90">
        <v>0</v>
      </c>
      <c r="AD80" s="823"/>
      <c r="AE80" s="823"/>
      <c r="AF80" s="823"/>
      <c r="AG80" s="823"/>
      <c r="AH80" s="823"/>
      <c r="AI80" s="823"/>
      <c r="AJ80" s="823"/>
      <c r="AK80" s="823"/>
      <c r="AL80" s="823"/>
      <c r="AM80" s="823"/>
      <c r="AN80" s="823"/>
      <c r="AO80" s="823"/>
      <c r="AP80" s="823"/>
    </row>
    <row r="81" spans="1:42">
      <c r="A81" s="823"/>
      <c r="B81" s="1135"/>
      <c r="C81" s="1135"/>
      <c r="D81" s="823" t="s">
        <v>743</v>
      </c>
      <c r="E81" s="823"/>
      <c r="F81" s="823"/>
      <c r="G81" s="823"/>
      <c r="H81" s="823"/>
      <c r="I81" s="823"/>
      <c r="J81" s="823"/>
      <c r="K81" s="823"/>
      <c r="L81" s="823"/>
      <c r="M81" s="823"/>
      <c r="N81" s="823"/>
      <c r="O81" s="823"/>
      <c r="P81" s="823"/>
      <c r="Q81" s="823"/>
      <c r="R81" s="823"/>
      <c r="S81" s="823"/>
      <c r="T81" s="55">
        <v>1</v>
      </c>
      <c r="U81" s="56">
        <v>1</v>
      </c>
      <c r="V81" s="56">
        <v>1</v>
      </c>
      <c r="W81" s="56">
        <v>1</v>
      </c>
      <c r="X81" s="56">
        <v>1</v>
      </c>
      <c r="Y81" s="56">
        <v>1</v>
      </c>
      <c r="Z81" s="56">
        <v>1</v>
      </c>
      <c r="AA81" s="57">
        <v>1</v>
      </c>
      <c r="AB81" s="58">
        <v>1</v>
      </c>
      <c r="AC81" s="56">
        <v>1</v>
      </c>
      <c r="AD81" s="823"/>
      <c r="AE81" s="823"/>
      <c r="AF81" s="823"/>
      <c r="AG81" s="823"/>
      <c r="AH81" s="823"/>
      <c r="AI81" s="823"/>
      <c r="AJ81" s="823"/>
      <c r="AK81" s="823"/>
      <c r="AL81" s="823"/>
      <c r="AM81" s="823"/>
      <c r="AN81" s="823"/>
      <c r="AO81" s="823"/>
      <c r="AP81" s="823"/>
    </row>
    <row r="82" spans="1:42">
      <c r="A82" s="823"/>
      <c r="B82" s="1135"/>
      <c r="C82" s="1135"/>
      <c r="D82" s="823"/>
      <c r="E82" s="823"/>
      <c r="F82" s="823"/>
      <c r="G82" s="823"/>
      <c r="H82" s="823"/>
      <c r="I82" s="823"/>
      <c r="J82" s="823"/>
      <c r="K82" s="823"/>
      <c r="L82" s="823"/>
      <c r="M82" s="823"/>
      <c r="N82" s="823"/>
      <c r="O82" s="823"/>
      <c r="P82" s="823"/>
      <c r="Q82" s="823"/>
      <c r="R82" s="823"/>
      <c r="S82" s="823"/>
      <c r="T82" s="823"/>
      <c r="U82" s="823"/>
      <c r="V82" s="823"/>
      <c r="W82" s="823"/>
      <c r="X82" s="823"/>
      <c r="Y82" s="823"/>
      <c r="Z82" s="823"/>
      <c r="AA82" s="823"/>
      <c r="AB82" s="833"/>
      <c r="AC82" s="823"/>
      <c r="AD82" s="823"/>
      <c r="AE82" s="823"/>
      <c r="AF82" s="823"/>
      <c r="AG82" s="823"/>
      <c r="AH82" s="823"/>
      <c r="AI82" s="823"/>
      <c r="AJ82" s="823"/>
      <c r="AK82" s="823"/>
      <c r="AL82" s="823"/>
      <c r="AM82" s="823"/>
      <c r="AN82" s="823"/>
      <c r="AO82" s="823"/>
      <c r="AP82" s="823"/>
    </row>
    <row r="83" spans="1:42">
      <c r="A83" s="823"/>
      <c r="B83" s="1135"/>
      <c r="C83" s="1135"/>
      <c r="D83" s="823"/>
      <c r="E83" s="823"/>
      <c r="F83" s="823"/>
      <c r="G83" s="823"/>
      <c r="H83" s="823"/>
      <c r="I83" s="823"/>
      <c r="J83" s="823"/>
      <c r="K83" s="823"/>
      <c r="L83" s="823"/>
      <c r="M83" s="823"/>
      <c r="N83" s="823"/>
      <c r="O83" s="823"/>
      <c r="P83" s="823"/>
      <c r="Q83" s="823"/>
      <c r="R83" s="823"/>
      <c r="S83" s="823"/>
      <c r="T83" s="823"/>
      <c r="U83" s="823"/>
      <c r="V83" s="823"/>
      <c r="W83" s="823"/>
      <c r="X83" s="823"/>
      <c r="Y83" s="823"/>
      <c r="Z83" s="823"/>
      <c r="AA83" s="823"/>
      <c r="AB83" s="833"/>
      <c r="AC83" s="823"/>
      <c r="AD83" s="823"/>
      <c r="AE83" s="823"/>
      <c r="AF83" s="823"/>
      <c r="AG83" s="823"/>
      <c r="AH83" s="823"/>
      <c r="AI83" s="823"/>
      <c r="AJ83" s="823"/>
      <c r="AK83" s="823"/>
      <c r="AL83" s="823"/>
      <c r="AM83" s="823"/>
      <c r="AN83" s="823"/>
      <c r="AO83" s="823"/>
      <c r="AP83" s="823"/>
    </row>
    <row r="84" spans="1:42" ht="16">
      <c r="A84" s="823"/>
      <c r="B84" s="1124" t="s">
        <v>880</v>
      </c>
      <c r="C84" s="1124"/>
      <c r="D84" s="1125"/>
      <c r="E84" s="1125"/>
      <c r="F84" s="1125"/>
      <c r="G84" s="1125"/>
      <c r="H84" s="1125"/>
      <c r="I84" s="1125"/>
      <c r="J84" s="1125"/>
      <c r="K84" s="1125"/>
      <c r="L84" s="1125"/>
      <c r="M84" s="1125"/>
      <c r="N84" s="1125"/>
      <c r="O84" s="1125"/>
      <c r="P84" s="1125"/>
      <c r="Q84" s="1125"/>
      <c r="R84" s="823"/>
      <c r="S84" s="823"/>
      <c r="T84" s="823"/>
      <c r="U84" s="823"/>
      <c r="V84" s="823"/>
      <c r="W84" s="823"/>
      <c r="X84" s="823"/>
      <c r="Y84" s="823"/>
      <c r="Z84" s="823"/>
      <c r="AA84" s="823"/>
      <c r="AB84" s="833"/>
      <c r="AC84" s="823"/>
      <c r="AD84" s="823"/>
      <c r="AE84" s="823"/>
      <c r="AF84" s="823"/>
      <c r="AG84" s="823"/>
      <c r="AH84" s="823"/>
      <c r="AI84" s="823"/>
      <c r="AJ84" s="823"/>
      <c r="AK84" s="823"/>
      <c r="AL84" s="823"/>
      <c r="AM84" s="823"/>
      <c r="AN84" s="823"/>
      <c r="AO84" s="823"/>
      <c r="AP84" s="823"/>
    </row>
    <row r="85" spans="1:42">
      <c r="A85" s="823"/>
      <c r="B85" s="1135"/>
      <c r="C85" s="1135"/>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33"/>
      <c r="AC85" s="823"/>
      <c r="AD85" s="823"/>
      <c r="AE85" s="823"/>
      <c r="AF85" s="823"/>
      <c r="AG85" s="823"/>
      <c r="AH85" s="823"/>
      <c r="AI85" s="823"/>
      <c r="AJ85" s="823"/>
      <c r="AK85" s="823"/>
      <c r="AL85" s="823"/>
      <c r="AM85" s="823"/>
      <c r="AN85" s="823"/>
      <c r="AO85" s="823"/>
      <c r="AP85" s="823"/>
    </row>
    <row r="86" spans="1:42">
      <c r="A86" s="823"/>
      <c r="B86" s="1135"/>
      <c r="C86" s="1135"/>
      <c r="D86" s="1155" t="s">
        <v>881</v>
      </c>
      <c r="E86" s="1155"/>
      <c r="S86" s="823"/>
      <c r="T86" s="1144" t="s">
        <v>486</v>
      </c>
      <c r="U86" s="1145" t="s">
        <v>486</v>
      </c>
      <c r="V86" s="1145" t="s">
        <v>486</v>
      </c>
      <c r="W86" s="1145" t="s">
        <v>486</v>
      </c>
      <c r="X86" s="1145" t="s">
        <v>486</v>
      </c>
      <c r="Y86" s="1145" t="s">
        <v>486</v>
      </c>
      <c r="Z86" s="1145" t="s">
        <v>486</v>
      </c>
      <c r="AA86" s="1146" t="s">
        <v>486</v>
      </c>
      <c r="AB86" s="1147" t="s">
        <v>486</v>
      </c>
      <c r="AC86" s="1145" t="s">
        <v>486</v>
      </c>
      <c r="AD86" s="823"/>
      <c r="AE86" s="823"/>
      <c r="AF86" s="823"/>
      <c r="AG86" s="823"/>
      <c r="AH86" s="823"/>
      <c r="AI86" s="823"/>
      <c r="AJ86" s="823"/>
      <c r="AK86" s="823"/>
      <c r="AL86" s="823"/>
      <c r="AM86" s="823"/>
      <c r="AN86" s="823"/>
      <c r="AO86" s="823"/>
      <c r="AP86" s="823"/>
    </row>
    <row r="87" spans="1:42" ht="12.75" customHeight="1">
      <c r="A87" s="823"/>
      <c r="B87" s="1135"/>
      <c r="C87" s="1135"/>
      <c r="D87" s="1367" t="s">
        <v>882</v>
      </c>
      <c r="E87" s="1367"/>
      <c r="F87" s="1367"/>
      <c r="G87" s="1367"/>
      <c r="H87" s="1367"/>
      <c r="I87" s="1367"/>
      <c r="J87" s="1367"/>
      <c r="K87" s="1367"/>
      <c r="L87" s="1367"/>
      <c r="M87" s="1367"/>
      <c r="N87" s="1367"/>
      <c r="O87" s="1367"/>
      <c r="P87" s="1367"/>
      <c r="Q87" s="1367"/>
      <c r="R87" s="1367"/>
      <c r="S87" s="823"/>
      <c r="T87" s="829">
        <v>0.79105033343544517</v>
      </c>
      <c r="U87" s="829">
        <v>0.79077683896528717</v>
      </c>
      <c r="V87" s="829">
        <v>0.82647852276631972</v>
      </c>
      <c r="W87" s="829">
        <v>0.83902784476209336</v>
      </c>
      <c r="X87" s="829">
        <v>0.83754386567812134</v>
      </c>
      <c r="Y87" s="829">
        <v>0.88536527004828458</v>
      </c>
      <c r="Z87" s="829">
        <v>0.88291908884931081</v>
      </c>
      <c r="AA87" s="829">
        <v>0.86331495282288351</v>
      </c>
      <c r="AB87" s="829">
        <v>0.83012037494751867</v>
      </c>
      <c r="AC87" s="829">
        <v>0.84064898280773459</v>
      </c>
      <c r="AD87" s="823"/>
      <c r="AE87" s="823"/>
      <c r="AF87" s="823"/>
      <c r="AG87" s="823"/>
      <c r="AH87" s="823"/>
      <c r="AI87" s="823"/>
      <c r="AJ87" s="823"/>
      <c r="AK87" s="823"/>
      <c r="AL87" s="823"/>
      <c r="AM87" s="823"/>
      <c r="AN87" s="823"/>
      <c r="AO87" s="823"/>
      <c r="AP87" s="823"/>
    </row>
    <row r="88" spans="1:42" ht="12.75" customHeight="1">
      <c r="A88" s="823"/>
      <c r="B88" s="1135"/>
      <c r="C88" s="1135"/>
      <c r="D88" s="1367" t="s">
        <v>883</v>
      </c>
      <c r="E88" s="1367"/>
      <c r="F88" s="1367"/>
      <c r="G88" s="1367"/>
      <c r="H88" s="1367"/>
      <c r="I88" s="1367"/>
      <c r="J88" s="1367"/>
      <c r="K88" s="1367"/>
      <c r="L88" s="1367"/>
      <c r="M88" s="1367"/>
      <c r="N88" s="1367"/>
      <c r="O88" s="1367"/>
      <c r="P88" s="1367"/>
      <c r="Q88" s="1367"/>
      <c r="R88" s="1367"/>
      <c r="S88" s="823"/>
      <c r="T88" s="829">
        <v>6.0007653989533241E-2</v>
      </c>
      <c r="U88" s="829">
        <v>5.5033128859087815E-2</v>
      </c>
      <c r="V88" s="829">
        <v>7.1686715458711261E-2</v>
      </c>
      <c r="W88" s="829">
        <v>7.7427112943631679E-2</v>
      </c>
      <c r="X88" s="829">
        <v>7.729016848242222E-2</v>
      </c>
      <c r="Y88" s="829">
        <v>2.2282696420089471E-2</v>
      </c>
      <c r="Z88" s="829">
        <v>2.2221131419869516E-2</v>
      </c>
      <c r="AA88" s="829">
        <v>2.532627247649016E-2</v>
      </c>
      <c r="AB88" s="829">
        <v>3.072589017292986E-2</v>
      </c>
      <c r="AC88" s="829">
        <v>0</v>
      </c>
      <c r="AD88" s="823"/>
      <c r="AE88" s="823"/>
      <c r="AF88" s="823"/>
      <c r="AG88" s="823"/>
      <c r="AH88" s="823"/>
      <c r="AI88" s="823"/>
      <c r="AJ88" s="823"/>
      <c r="AK88" s="823"/>
      <c r="AL88" s="823"/>
      <c r="AM88" s="823"/>
      <c r="AN88" s="823"/>
      <c r="AO88" s="823"/>
      <c r="AP88" s="823"/>
    </row>
    <row r="89" spans="1:42" ht="12.75" customHeight="1">
      <c r="A89" s="823"/>
      <c r="B89" s="1135"/>
      <c r="C89" s="1135"/>
      <c r="D89" s="1367" t="s">
        <v>884</v>
      </c>
      <c r="E89" s="1367"/>
      <c r="F89" s="1367"/>
      <c r="G89" s="1367"/>
      <c r="H89" s="1367"/>
      <c r="I89" s="1367"/>
      <c r="J89" s="1367"/>
      <c r="K89" s="1367"/>
      <c r="L89" s="1367"/>
      <c r="M89" s="1367"/>
      <c r="N89" s="1367"/>
      <c r="O89" s="1367"/>
      <c r="P89" s="1367"/>
      <c r="Q89" s="1367"/>
      <c r="R89" s="1367"/>
      <c r="S89" s="823"/>
      <c r="T89" s="829">
        <v>0.14894201257502174</v>
      </c>
      <c r="U89" s="829">
        <v>0.15419003217562499</v>
      </c>
      <c r="V89" s="829">
        <v>0.10183476177496897</v>
      </c>
      <c r="W89" s="829">
        <v>8.3545042294274993E-2</v>
      </c>
      <c r="X89" s="829">
        <v>8.5165965839456459E-2</v>
      </c>
      <c r="Y89" s="829">
        <v>9.2352033531625938E-2</v>
      </c>
      <c r="Z89" s="829">
        <v>9.4859779730819688E-2</v>
      </c>
      <c r="AA89" s="829">
        <v>0.11135877470062634</v>
      </c>
      <c r="AB89" s="829">
        <v>0.13915373487955146</v>
      </c>
      <c r="AC89" s="829">
        <v>0.15935101719226541</v>
      </c>
      <c r="AD89" s="823"/>
      <c r="AE89" s="823"/>
      <c r="AF89" s="823"/>
      <c r="AG89" s="823"/>
      <c r="AH89" s="823"/>
      <c r="AI89" s="823"/>
      <c r="AJ89" s="823"/>
      <c r="AK89" s="823"/>
      <c r="AL89" s="823"/>
      <c r="AM89" s="823"/>
      <c r="AN89" s="823"/>
      <c r="AO89" s="823"/>
      <c r="AP89" s="823"/>
    </row>
    <row r="90" spans="1:42" ht="12.75" customHeight="1">
      <c r="A90" s="823"/>
      <c r="B90" s="1135"/>
      <c r="C90" s="1135"/>
      <c r="D90" s="1367" t="s">
        <v>885</v>
      </c>
      <c r="E90" s="1367"/>
      <c r="F90" s="1367"/>
      <c r="G90" s="1367"/>
      <c r="H90" s="1367"/>
      <c r="I90" s="1367"/>
      <c r="J90" s="1367"/>
      <c r="K90" s="1367"/>
      <c r="L90" s="1367"/>
      <c r="M90" s="1367"/>
      <c r="N90" s="1367"/>
      <c r="O90" s="1367"/>
      <c r="P90" s="1367"/>
      <c r="Q90" s="1367"/>
      <c r="R90" s="1367"/>
      <c r="S90" s="823"/>
      <c r="T90" s="829">
        <v>0</v>
      </c>
      <c r="U90" s="829">
        <v>0</v>
      </c>
      <c r="V90" s="829">
        <v>0</v>
      </c>
      <c r="W90" s="829">
        <v>0</v>
      </c>
      <c r="X90" s="829">
        <v>0</v>
      </c>
      <c r="Y90" s="829">
        <v>0</v>
      </c>
      <c r="Z90" s="829">
        <v>0</v>
      </c>
      <c r="AA90" s="829">
        <v>0</v>
      </c>
      <c r="AB90" s="829">
        <v>0</v>
      </c>
      <c r="AC90" s="829">
        <v>0</v>
      </c>
      <c r="AD90" s="823"/>
      <c r="AE90" s="823"/>
      <c r="AF90" s="823"/>
      <c r="AG90" s="823"/>
      <c r="AH90" s="823"/>
      <c r="AI90" s="823"/>
      <c r="AJ90" s="823"/>
      <c r="AK90" s="823"/>
      <c r="AL90" s="823"/>
      <c r="AM90" s="823"/>
      <c r="AN90" s="823"/>
      <c r="AO90" s="823"/>
      <c r="AP90" s="823"/>
    </row>
    <row r="91" spans="1:42" ht="12.75" customHeight="1">
      <c r="A91" s="823"/>
      <c r="B91" s="1135"/>
      <c r="C91" s="1135"/>
      <c r="D91" s="1367" t="s">
        <v>886</v>
      </c>
      <c r="E91" s="1367"/>
      <c r="F91" s="1367"/>
      <c r="G91" s="1367"/>
      <c r="H91" s="1367"/>
      <c r="I91" s="1367"/>
      <c r="J91" s="1367"/>
      <c r="K91" s="1367"/>
      <c r="L91" s="1367"/>
      <c r="M91" s="1367"/>
      <c r="N91" s="1367"/>
      <c r="O91" s="1367"/>
      <c r="P91" s="1367"/>
      <c r="Q91" s="1367"/>
      <c r="R91" s="1367"/>
      <c r="S91" s="823"/>
      <c r="T91" s="830">
        <v>0</v>
      </c>
      <c r="U91" s="831">
        <v>0</v>
      </c>
      <c r="V91" s="831">
        <v>0</v>
      </c>
      <c r="W91" s="831">
        <v>0</v>
      </c>
      <c r="X91" s="831">
        <v>0</v>
      </c>
      <c r="Y91" s="831">
        <v>0</v>
      </c>
      <c r="Z91" s="831">
        <v>0</v>
      </c>
      <c r="AA91" s="832">
        <v>0</v>
      </c>
      <c r="AB91" s="831">
        <v>0</v>
      </c>
      <c r="AC91" s="831">
        <v>0</v>
      </c>
      <c r="AD91" s="823"/>
      <c r="AE91" s="823"/>
      <c r="AF91" s="823"/>
      <c r="AG91" s="823"/>
      <c r="AH91" s="823"/>
      <c r="AI91" s="823"/>
      <c r="AJ91" s="823"/>
      <c r="AK91" s="823"/>
      <c r="AL91" s="823"/>
      <c r="AM91" s="823"/>
      <c r="AN91" s="823"/>
      <c r="AO91" s="823"/>
      <c r="AP91" s="823"/>
    </row>
    <row r="92" spans="1:42">
      <c r="A92" s="823"/>
      <c r="B92" s="1135"/>
      <c r="C92" s="1135"/>
      <c r="D92" s="1368" t="s">
        <v>613</v>
      </c>
      <c r="E92" s="1368"/>
      <c r="F92" s="1368"/>
      <c r="G92" s="1368"/>
      <c r="H92" s="1368"/>
      <c r="I92" s="1368"/>
      <c r="J92" s="1368"/>
      <c r="K92" s="1368"/>
      <c r="L92" s="1368"/>
      <c r="M92" s="1368"/>
      <c r="N92" s="1368"/>
      <c r="O92" s="1368"/>
      <c r="P92" s="1368"/>
      <c r="Q92" s="1368"/>
      <c r="R92" s="1368"/>
      <c r="S92" s="823"/>
      <c r="T92" s="262">
        <v>1.0000000000000002</v>
      </c>
      <c r="U92" s="263">
        <v>1</v>
      </c>
      <c r="V92" s="263">
        <v>1</v>
      </c>
      <c r="W92" s="263">
        <v>1</v>
      </c>
      <c r="X92" s="263">
        <v>1</v>
      </c>
      <c r="Y92" s="263">
        <v>1</v>
      </c>
      <c r="Z92" s="263">
        <v>1</v>
      </c>
      <c r="AA92" s="264">
        <v>1</v>
      </c>
      <c r="AB92" s="265">
        <v>1</v>
      </c>
      <c r="AC92" s="263">
        <v>1</v>
      </c>
      <c r="AD92" s="823"/>
      <c r="AE92" s="823"/>
      <c r="AF92" s="823"/>
      <c r="AG92" s="823"/>
      <c r="AH92" s="823"/>
      <c r="AI92" s="823"/>
      <c r="AJ92" s="823"/>
      <c r="AK92" s="823"/>
      <c r="AL92" s="823"/>
      <c r="AM92" s="823"/>
      <c r="AN92" s="823"/>
      <c r="AO92" s="823"/>
      <c r="AP92" s="823"/>
    </row>
    <row r="93" spans="1:42">
      <c r="A93" s="823"/>
      <c r="B93" s="1135"/>
      <c r="C93" s="1135"/>
      <c r="D93" s="1152" t="s">
        <v>557</v>
      </c>
      <c r="E93" s="823"/>
      <c r="F93" s="823"/>
      <c r="G93" s="823"/>
      <c r="H93" s="823"/>
      <c r="I93" s="823"/>
      <c r="J93" s="823"/>
      <c r="K93" s="823"/>
      <c r="L93" s="823"/>
      <c r="M93" s="823"/>
      <c r="N93" s="823"/>
      <c r="O93" s="823"/>
      <c r="P93" s="823"/>
      <c r="Q93" s="823"/>
      <c r="R93" s="823"/>
      <c r="S93" s="823"/>
      <c r="T93" s="823" t="s">
        <v>1255</v>
      </c>
      <c r="U93" s="823" t="s">
        <v>1255</v>
      </c>
      <c r="V93" s="823" t="s">
        <v>1255</v>
      </c>
      <c r="W93" s="823" t="s">
        <v>1255</v>
      </c>
      <c r="X93" s="823" t="s">
        <v>1255</v>
      </c>
      <c r="Y93" s="823" t="s">
        <v>1255</v>
      </c>
      <c r="Z93" s="823" t="s">
        <v>1255</v>
      </c>
      <c r="AA93" s="823" t="s">
        <v>1255</v>
      </c>
      <c r="AB93" s="833" t="s">
        <v>1255</v>
      </c>
      <c r="AC93" s="823" t="s">
        <v>1255</v>
      </c>
      <c r="AD93" s="823"/>
      <c r="AE93" s="823"/>
      <c r="AF93" s="823"/>
      <c r="AG93" s="823"/>
      <c r="AH93" s="823"/>
      <c r="AI93" s="823"/>
      <c r="AJ93" s="823"/>
      <c r="AK93" s="823"/>
      <c r="AL93" s="823"/>
      <c r="AM93" s="823"/>
      <c r="AN93" s="823"/>
      <c r="AO93" s="823"/>
      <c r="AP93" s="823"/>
    </row>
    <row r="94" spans="1:42">
      <c r="A94" s="823"/>
      <c r="B94" s="1135"/>
      <c r="C94" s="1135"/>
      <c r="D94" s="823"/>
      <c r="E94" s="823"/>
      <c r="F94" s="823"/>
      <c r="G94" s="823"/>
      <c r="H94" s="823"/>
      <c r="I94" s="823"/>
      <c r="J94" s="823"/>
      <c r="K94" s="823"/>
      <c r="L94" s="823"/>
      <c r="M94" s="823"/>
      <c r="N94" s="823"/>
      <c r="O94" s="823"/>
      <c r="P94" s="823"/>
      <c r="Q94" s="823"/>
      <c r="R94" s="823"/>
      <c r="S94" s="823"/>
      <c r="T94" s="823"/>
      <c r="U94" s="823"/>
      <c r="V94" s="823"/>
      <c r="W94" s="823"/>
      <c r="X94" s="823"/>
      <c r="Y94" s="823"/>
      <c r="Z94" s="823"/>
      <c r="AA94" s="823"/>
      <c r="AB94" s="833"/>
      <c r="AC94" s="823"/>
      <c r="AD94" s="823"/>
      <c r="AE94" s="823"/>
      <c r="AF94" s="823"/>
      <c r="AG94" s="823"/>
      <c r="AH94" s="823"/>
      <c r="AI94" s="823"/>
      <c r="AJ94" s="823"/>
      <c r="AK94" s="823"/>
      <c r="AL94" s="823"/>
      <c r="AM94" s="823"/>
      <c r="AN94" s="823"/>
      <c r="AO94" s="823"/>
      <c r="AP94" s="823"/>
    </row>
    <row r="95" spans="1:42">
      <c r="A95" s="823"/>
      <c r="B95" s="1135"/>
      <c r="C95" s="1135"/>
      <c r="D95" s="1155" t="s">
        <v>887</v>
      </c>
      <c r="E95" s="1155"/>
      <c r="S95" s="823"/>
      <c r="T95" s="823"/>
      <c r="U95" s="823"/>
      <c r="V95" s="823"/>
      <c r="W95" s="823"/>
      <c r="X95" s="823"/>
      <c r="Y95" s="823"/>
      <c r="Z95" s="823"/>
      <c r="AA95" s="823"/>
      <c r="AB95" s="833"/>
      <c r="AC95" s="823"/>
      <c r="AD95" s="823"/>
      <c r="AE95" s="823"/>
      <c r="AF95" s="823"/>
      <c r="AG95" s="823"/>
      <c r="AH95" s="823"/>
      <c r="AI95" s="823"/>
      <c r="AJ95" s="823"/>
      <c r="AK95" s="823"/>
      <c r="AL95" s="823"/>
      <c r="AM95" s="823"/>
      <c r="AN95" s="823"/>
      <c r="AO95" s="823"/>
      <c r="AP95" s="823"/>
    </row>
    <row r="96" spans="1:42">
      <c r="A96" s="823"/>
      <c r="B96" s="1135"/>
      <c r="C96" s="1135"/>
      <c r="D96" s="1367" t="s">
        <v>882</v>
      </c>
      <c r="E96" s="1367"/>
      <c r="F96" s="1367"/>
      <c r="G96" s="1367"/>
      <c r="H96" s="1367"/>
      <c r="I96" s="1367"/>
      <c r="J96" s="1367"/>
      <c r="K96" s="1367"/>
      <c r="L96" s="1367"/>
      <c r="M96" s="1367"/>
      <c r="N96" s="1367"/>
      <c r="O96" s="1367"/>
      <c r="P96" s="1367"/>
      <c r="Q96" s="1367"/>
      <c r="R96" s="1367"/>
      <c r="S96" s="823"/>
      <c r="T96" s="829">
        <v>0.64103119846161216</v>
      </c>
      <c r="U96" s="829">
        <v>0.6531940168175675</v>
      </c>
      <c r="V96" s="829">
        <v>0.64566898564153152</v>
      </c>
      <c r="W96" s="829">
        <v>0.64373977272997562</v>
      </c>
      <c r="X96" s="829">
        <v>0.64260119745596533</v>
      </c>
      <c r="Y96" s="829">
        <v>0.67929192252910786</v>
      </c>
      <c r="Z96" s="829">
        <v>0.69222919027408114</v>
      </c>
      <c r="AA96" s="829">
        <v>0.67974675307695254</v>
      </c>
      <c r="AB96" s="829">
        <v>0.62220851811069333</v>
      </c>
      <c r="AC96" s="829">
        <v>0.70058996427688336</v>
      </c>
      <c r="AD96" s="823"/>
      <c r="AE96" s="823"/>
      <c r="AF96" s="823"/>
      <c r="AG96" s="823"/>
      <c r="AH96" s="823"/>
      <c r="AI96" s="823"/>
      <c r="AJ96" s="823"/>
      <c r="AK96" s="823"/>
      <c r="AL96" s="823"/>
      <c r="AM96" s="823"/>
      <c r="AN96" s="823"/>
      <c r="AO96" s="823"/>
      <c r="AP96" s="823"/>
    </row>
    <row r="97" spans="1:42">
      <c r="A97" s="823"/>
      <c r="B97" s="1135"/>
      <c r="C97" s="1135"/>
      <c r="D97" s="1367" t="s">
        <v>883</v>
      </c>
      <c r="E97" s="1367"/>
      <c r="F97" s="1367"/>
      <c r="G97" s="1367"/>
      <c r="H97" s="1367"/>
      <c r="I97" s="1367"/>
      <c r="J97" s="1367"/>
      <c r="K97" s="1367"/>
      <c r="L97" s="1367"/>
      <c r="M97" s="1367"/>
      <c r="N97" s="1367"/>
      <c r="O97" s="1367"/>
      <c r="P97" s="1367"/>
      <c r="Q97" s="1367"/>
      <c r="R97" s="1367"/>
      <c r="S97" s="823"/>
      <c r="T97" s="829">
        <v>0</v>
      </c>
      <c r="U97" s="829">
        <v>0</v>
      </c>
      <c r="V97" s="829">
        <v>7.0020976870416113E-2</v>
      </c>
      <c r="W97" s="829">
        <v>7.5627988391959666E-2</v>
      </c>
      <c r="X97" s="829">
        <v>7.5494226022048833E-2</v>
      </c>
      <c r="Y97" s="829">
        <v>7.9804734472003105E-2</v>
      </c>
      <c r="Z97" s="829">
        <v>7.9584241475882014E-2</v>
      </c>
      <c r="AA97" s="829">
        <v>9.0705200665466959E-2</v>
      </c>
      <c r="AB97" s="829">
        <v>9.5250259536082571E-2</v>
      </c>
      <c r="AC97" s="829">
        <v>7.1737546076777431E-2</v>
      </c>
      <c r="AD97" s="823"/>
      <c r="AE97" s="823"/>
      <c r="AF97" s="823"/>
      <c r="AG97" s="823"/>
      <c r="AH97" s="823"/>
      <c r="AI97" s="823"/>
      <c r="AJ97" s="823"/>
      <c r="AK97" s="823"/>
      <c r="AL97" s="823"/>
      <c r="AM97" s="823"/>
      <c r="AN97" s="823"/>
      <c r="AO97" s="823"/>
      <c r="AP97" s="823"/>
    </row>
    <row r="98" spans="1:42">
      <c r="A98" s="823"/>
      <c r="B98" s="1135"/>
      <c r="C98" s="1135"/>
      <c r="D98" s="1367" t="s">
        <v>884</v>
      </c>
      <c r="E98" s="1367"/>
      <c r="F98" s="1367"/>
      <c r="G98" s="1367"/>
      <c r="H98" s="1367"/>
      <c r="I98" s="1367"/>
      <c r="J98" s="1367"/>
      <c r="K98" s="1367"/>
      <c r="L98" s="1367"/>
      <c r="M98" s="1367"/>
      <c r="N98" s="1367"/>
      <c r="O98" s="1367"/>
      <c r="P98" s="1367"/>
      <c r="Q98" s="1367"/>
      <c r="R98" s="1367"/>
      <c r="S98" s="823"/>
      <c r="T98" s="829">
        <v>0.20894966656455496</v>
      </c>
      <c r="U98" s="829">
        <v>0.20922316103471275</v>
      </c>
      <c r="V98" s="829">
        <v>0.15397055483584987</v>
      </c>
      <c r="W98" s="829">
        <v>0.13985566988964349</v>
      </c>
      <c r="X98" s="829">
        <v>0.14137699746303622</v>
      </c>
      <c r="Y98" s="829">
        <v>9.2352033531625938E-2</v>
      </c>
      <c r="Z98" s="829">
        <v>9.4859779730819688E-2</v>
      </c>
      <c r="AA98" s="829">
        <v>0.11135877470062634</v>
      </c>
      <c r="AB98" s="829">
        <v>0.13915373487955146</v>
      </c>
      <c r="AC98" s="829">
        <v>0.15935101719226541</v>
      </c>
      <c r="AD98" s="823"/>
      <c r="AE98" s="823"/>
      <c r="AF98" s="823"/>
      <c r="AG98" s="823"/>
      <c r="AH98" s="823"/>
      <c r="AI98" s="823"/>
      <c r="AJ98" s="823"/>
      <c r="AK98" s="823"/>
      <c r="AL98" s="823"/>
      <c r="AM98" s="823"/>
      <c r="AN98" s="823"/>
      <c r="AO98" s="823"/>
      <c r="AP98" s="823"/>
    </row>
    <row r="99" spans="1:42">
      <c r="A99" s="823"/>
      <c r="B99" s="1135"/>
      <c r="C99" s="1135"/>
      <c r="D99" s="1367" t="s">
        <v>885</v>
      </c>
      <c r="E99" s="1367"/>
      <c r="F99" s="1367"/>
      <c r="G99" s="1367"/>
      <c r="H99" s="1367"/>
      <c r="I99" s="1367"/>
      <c r="J99" s="1367"/>
      <c r="K99" s="1367"/>
      <c r="L99" s="1367"/>
      <c r="M99" s="1367"/>
      <c r="N99" s="1367"/>
      <c r="O99" s="1367"/>
      <c r="P99" s="1367"/>
      <c r="Q99" s="1367"/>
      <c r="R99" s="1367"/>
      <c r="S99" s="823"/>
      <c r="T99" s="829">
        <v>0.15001913497383312</v>
      </c>
      <c r="U99" s="829">
        <v>0.13758282214771952</v>
      </c>
      <c r="V99" s="829">
        <v>0.1303394826522023</v>
      </c>
      <c r="W99" s="829">
        <v>0.14077656898842125</v>
      </c>
      <c r="X99" s="829">
        <v>0.14052757905894947</v>
      </c>
      <c r="Y99" s="829">
        <v>0.14855130946726314</v>
      </c>
      <c r="Z99" s="829">
        <v>0.13332678851921709</v>
      </c>
      <c r="AA99" s="829">
        <v>0.11818927155695408</v>
      </c>
      <c r="AB99" s="829">
        <v>0.14338748747367269</v>
      </c>
      <c r="AC99" s="829">
        <v>6.8321472454073745E-2</v>
      </c>
      <c r="AD99" s="823"/>
      <c r="AE99" s="823"/>
      <c r="AF99" s="823"/>
      <c r="AG99" s="823"/>
      <c r="AH99" s="823"/>
      <c r="AI99" s="823"/>
      <c r="AJ99" s="823"/>
      <c r="AK99" s="823"/>
      <c r="AL99" s="823"/>
      <c r="AM99" s="823"/>
      <c r="AN99" s="823"/>
      <c r="AO99" s="823"/>
      <c r="AP99" s="823"/>
    </row>
    <row r="100" spans="1:42">
      <c r="A100" s="823"/>
      <c r="B100" s="1135"/>
      <c r="C100" s="1135"/>
      <c r="D100" s="1157"/>
      <c r="E100" s="1157"/>
      <c r="F100" s="1157"/>
      <c r="G100" s="1157"/>
      <c r="H100" s="1157"/>
      <c r="I100" s="1157"/>
      <c r="J100" s="1157"/>
      <c r="K100" s="1157"/>
      <c r="L100" s="1157"/>
      <c r="M100" s="1157"/>
      <c r="N100" s="1157"/>
      <c r="O100" s="1157"/>
      <c r="P100" s="1157"/>
      <c r="Q100" s="1157"/>
      <c r="R100" s="1157"/>
      <c r="S100" s="823"/>
      <c r="T100" s="830">
        <v>0</v>
      </c>
      <c r="U100" s="831">
        <v>0</v>
      </c>
      <c r="V100" s="831">
        <v>0</v>
      </c>
      <c r="W100" s="831">
        <v>0</v>
      </c>
      <c r="X100" s="831">
        <v>0</v>
      </c>
      <c r="Y100" s="831">
        <v>0</v>
      </c>
      <c r="Z100" s="831">
        <v>0</v>
      </c>
      <c r="AA100" s="832">
        <v>0</v>
      </c>
      <c r="AB100" s="831">
        <v>0</v>
      </c>
      <c r="AC100" s="831">
        <v>0</v>
      </c>
      <c r="AD100" s="823"/>
      <c r="AE100" s="823"/>
      <c r="AF100" s="823"/>
      <c r="AG100" s="823"/>
      <c r="AH100" s="823"/>
      <c r="AI100" s="823"/>
      <c r="AJ100" s="823"/>
      <c r="AK100" s="823"/>
      <c r="AL100" s="823"/>
      <c r="AM100" s="823"/>
      <c r="AN100" s="823"/>
      <c r="AO100" s="823"/>
      <c r="AP100" s="823"/>
    </row>
    <row r="101" spans="1:42">
      <c r="A101" s="823"/>
      <c r="B101" s="1135"/>
      <c r="C101" s="1135"/>
      <c r="D101" s="1368" t="s">
        <v>613</v>
      </c>
      <c r="E101" s="1368"/>
      <c r="F101" s="1368"/>
      <c r="G101" s="1368"/>
      <c r="H101" s="1368"/>
      <c r="I101" s="1368"/>
      <c r="J101" s="1368"/>
      <c r="K101" s="1368"/>
      <c r="L101" s="1368"/>
      <c r="M101" s="1368"/>
      <c r="N101" s="1368"/>
      <c r="O101" s="1368"/>
      <c r="P101" s="1368"/>
      <c r="Q101" s="1368"/>
      <c r="R101" s="1368"/>
      <c r="S101" s="823"/>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3"/>
      <c r="AE101" s="823"/>
      <c r="AF101" s="823"/>
      <c r="AG101" s="823"/>
      <c r="AH101" s="823"/>
      <c r="AI101" s="823"/>
      <c r="AJ101" s="823"/>
      <c r="AK101" s="823"/>
      <c r="AL101" s="823"/>
      <c r="AM101" s="823"/>
      <c r="AN101" s="823"/>
      <c r="AO101" s="823"/>
      <c r="AP101" s="823"/>
    </row>
    <row r="102" spans="1:42">
      <c r="A102" s="823"/>
      <c r="B102" s="1135"/>
      <c r="C102" s="1135"/>
      <c r="D102" s="1152" t="s">
        <v>557</v>
      </c>
      <c r="E102" s="823"/>
      <c r="F102" s="823"/>
      <c r="G102" s="823"/>
      <c r="H102" s="823"/>
      <c r="I102" s="823"/>
      <c r="J102" s="823"/>
      <c r="K102" s="823"/>
      <c r="L102" s="823"/>
      <c r="M102" s="823"/>
      <c r="N102" s="823"/>
      <c r="O102" s="823"/>
      <c r="P102" s="823"/>
      <c r="Q102" s="823"/>
      <c r="R102" s="823"/>
      <c r="S102" s="823"/>
      <c r="T102" s="823" t="s">
        <v>1255</v>
      </c>
      <c r="U102" s="823" t="s">
        <v>1255</v>
      </c>
      <c r="V102" s="823" t="s">
        <v>1255</v>
      </c>
      <c r="W102" s="823" t="s">
        <v>1255</v>
      </c>
      <c r="X102" s="823" t="s">
        <v>1255</v>
      </c>
      <c r="Y102" s="823" t="s">
        <v>1255</v>
      </c>
      <c r="Z102" s="823" t="s">
        <v>1255</v>
      </c>
      <c r="AA102" s="823" t="s">
        <v>1255</v>
      </c>
      <c r="AB102" s="833" t="s">
        <v>1255</v>
      </c>
      <c r="AC102" s="823" t="s">
        <v>1255</v>
      </c>
      <c r="AD102" s="823"/>
      <c r="AE102" s="823"/>
      <c r="AF102" s="823"/>
      <c r="AG102" s="823"/>
      <c r="AH102" s="823"/>
      <c r="AI102" s="823"/>
      <c r="AJ102" s="823"/>
      <c r="AK102" s="823"/>
      <c r="AL102" s="823"/>
      <c r="AM102" s="823"/>
      <c r="AN102" s="823"/>
      <c r="AO102" s="823"/>
      <c r="AP102" s="823"/>
    </row>
    <row r="103" spans="1:42">
      <c r="A103" s="823"/>
      <c r="B103" s="1135"/>
      <c r="C103" s="1135"/>
      <c r="D103" s="823"/>
      <c r="E103" s="823"/>
      <c r="F103" s="823"/>
      <c r="G103" s="823"/>
      <c r="H103" s="823"/>
      <c r="I103" s="823"/>
      <c r="J103" s="823"/>
      <c r="K103" s="823"/>
      <c r="L103" s="823"/>
      <c r="M103" s="823"/>
      <c r="N103" s="823"/>
      <c r="O103" s="823"/>
      <c r="P103" s="823"/>
      <c r="Q103" s="823"/>
      <c r="R103" s="823"/>
      <c r="S103" s="823"/>
      <c r="T103" s="823"/>
      <c r="U103" s="823"/>
      <c r="V103" s="823"/>
      <c r="W103" s="823"/>
      <c r="X103" s="823"/>
      <c r="Y103" s="823"/>
      <c r="Z103" s="823"/>
      <c r="AA103" s="823"/>
      <c r="AB103" s="833"/>
      <c r="AC103" s="823"/>
      <c r="AD103" s="823"/>
      <c r="AE103" s="823"/>
      <c r="AF103" s="823"/>
      <c r="AG103" s="823"/>
      <c r="AH103" s="823"/>
      <c r="AI103" s="823"/>
      <c r="AJ103" s="823"/>
      <c r="AK103" s="823"/>
      <c r="AL103" s="823"/>
      <c r="AM103" s="823"/>
      <c r="AN103" s="823"/>
      <c r="AO103" s="823"/>
      <c r="AP103" s="823"/>
    </row>
    <row r="104" spans="1:42">
      <c r="A104" s="823"/>
      <c r="B104" s="1135"/>
      <c r="C104" s="1135"/>
      <c r="D104" s="1155" t="s">
        <v>888</v>
      </c>
      <c r="E104" s="1155"/>
      <c r="S104" s="823"/>
      <c r="T104" s="1144" t="s">
        <v>486</v>
      </c>
      <c r="U104" s="1145" t="s">
        <v>486</v>
      </c>
      <c r="V104" s="1145" t="s">
        <v>486</v>
      </c>
      <c r="W104" s="1145" t="s">
        <v>486</v>
      </c>
      <c r="X104" s="1145" t="s">
        <v>486</v>
      </c>
      <c r="Y104" s="1145" t="s">
        <v>486</v>
      </c>
      <c r="Z104" s="1145" t="s">
        <v>486</v>
      </c>
      <c r="AA104" s="1146" t="s">
        <v>486</v>
      </c>
      <c r="AB104" s="1147" t="s">
        <v>486</v>
      </c>
      <c r="AC104" s="1145" t="s">
        <v>486</v>
      </c>
      <c r="AD104" s="823"/>
      <c r="AE104" s="823"/>
      <c r="AF104" s="823"/>
      <c r="AG104" s="823"/>
      <c r="AH104" s="823"/>
      <c r="AI104" s="823"/>
      <c r="AJ104" s="823"/>
      <c r="AK104" s="823"/>
      <c r="AL104" s="823"/>
      <c r="AM104" s="823"/>
      <c r="AN104" s="823"/>
      <c r="AO104" s="823"/>
      <c r="AP104" s="823"/>
    </row>
    <row r="105" spans="1:42">
      <c r="A105" s="823"/>
      <c r="B105" s="1135"/>
      <c r="C105" s="1135"/>
      <c r="D105" s="1367" t="s">
        <v>889</v>
      </c>
      <c r="E105" s="1367"/>
      <c r="F105" s="1367"/>
      <c r="G105" s="1367"/>
      <c r="H105" s="1367"/>
      <c r="I105" s="1367"/>
      <c r="J105" s="1367"/>
      <c r="K105" s="1367"/>
      <c r="L105" s="1367"/>
      <c r="M105" s="1367"/>
      <c r="N105" s="1367"/>
      <c r="O105" s="1367"/>
      <c r="P105" s="1367"/>
      <c r="Q105" s="1367"/>
      <c r="R105" s="1367"/>
      <c r="S105" s="823"/>
      <c r="T105" s="834">
        <v>0.72627550158918619</v>
      </c>
      <c r="U105" s="834">
        <v>0.74896676354721314</v>
      </c>
      <c r="V105" s="834">
        <v>0.72571187067825538</v>
      </c>
      <c r="W105" s="834">
        <v>0.75737983950747612</v>
      </c>
      <c r="X105" s="834">
        <v>0.75780895904834533</v>
      </c>
      <c r="Y105" s="834">
        <v>0.74398053025936184</v>
      </c>
      <c r="Z105" s="834">
        <v>0.74468788804110164</v>
      </c>
      <c r="AA105" s="834">
        <v>0.70901103135381249</v>
      </c>
      <c r="AB105" s="834">
        <v>0.84374285690791329</v>
      </c>
      <c r="AC105" s="834">
        <v>0.88577156908514665</v>
      </c>
      <c r="AD105" s="823"/>
      <c r="AE105" s="823"/>
      <c r="AF105" s="823"/>
      <c r="AG105" s="823"/>
      <c r="AH105" s="823"/>
      <c r="AI105" s="823"/>
      <c r="AJ105" s="823"/>
      <c r="AK105" s="823"/>
      <c r="AL105" s="823"/>
      <c r="AM105" s="823"/>
      <c r="AN105" s="823"/>
      <c r="AO105" s="823"/>
      <c r="AP105" s="823"/>
    </row>
    <row r="106" spans="1:42">
      <c r="A106" s="823"/>
      <c r="B106" s="1135"/>
      <c r="C106" s="1135"/>
      <c r="D106" s="1367" t="s">
        <v>890</v>
      </c>
      <c r="E106" s="1367"/>
      <c r="F106" s="1367"/>
      <c r="G106" s="1367"/>
      <c r="H106" s="1367"/>
      <c r="I106" s="1367"/>
      <c r="J106" s="1367"/>
      <c r="K106" s="1367"/>
      <c r="L106" s="1367"/>
      <c r="M106" s="1367"/>
      <c r="N106" s="1367"/>
      <c r="O106" s="1367"/>
      <c r="P106" s="1367"/>
      <c r="Q106" s="1367"/>
      <c r="R106" s="1367"/>
      <c r="S106" s="823"/>
      <c r="T106" s="834">
        <v>0.27372449841081403</v>
      </c>
      <c r="U106" s="834">
        <v>0.25103323645278669</v>
      </c>
      <c r="V106" s="834">
        <v>0.27428812932174446</v>
      </c>
      <c r="W106" s="834">
        <v>0.24262016049252375</v>
      </c>
      <c r="X106" s="834">
        <v>0.24219104095165447</v>
      </c>
      <c r="Y106" s="834">
        <v>0.25601946974063794</v>
      </c>
      <c r="Z106" s="834">
        <v>0.25531211195889819</v>
      </c>
      <c r="AA106" s="834">
        <v>0.29098896864618723</v>
      </c>
      <c r="AB106" s="834">
        <v>0.15625714309208669</v>
      </c>
      <c r="AC106" s="834">
        <v>0.11422843091485331</v>
      </c>
      <c r="AD106" s="823"/>
      <c r="AE106" s="823"/>
      <c r="AF106" s="823"/>
      <c r="AG106" s="823"/>
      <c r="AH106" s="823"/>
      <c r="AI106" s="823"/>
      <c r="AJ106" s="823"/>
      <c r="AK106" s="823"/>
      <c r="AL106" s="823"/>
      <c r="AM106" s="823"/>
      <c r="AN106" s="823"/>
      <c r="AO106" s="823"/>
      <c r="AP106" s="823"/>
    </row>
    <row r="107" spans="1:42">
      <c r="A107" s="823"/>
      <c r="B107" s="1135"/>
      <c r="C107" s="1135"/>
      <c r="D107" s="1368" t="s">
        <v>613</v>
      </c>
      <c r="E107" s="1368"/>
      <c r="F107" s="1368"/>
      <c r="G107" s="1368"/>
      <c r="H107" s="1368"/>
      <c r="I107" s="1368"/>
      <c r="J107" s="1368"/>
      <c r="K107" s="1368"/>
      <c r="L107" s="1368"/>
      <c r="M107" s="1368"/>
      <c r="N107" s="1368"/>
      <c r="O107" s="1368"/>
      <c r="P107" s="1368"/>
      <c r="Q107" s="1368"/>
      <c r="R107" s="1368"/>
      <c r="S107" s="823"/>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3"/>
      <c r="AE107" s="823"/>
      <c r="AF107" s="823"/>
      <c r="AG107" s="823"/>
      <c r="AH107" s="823"/>
      <c r="AI107" s="823"/>
      <c r="AJ107" s="823"/>
      <c r="AK107" s="823"/>
      <c r="AL107" s="823"/>
      <c r="AM107" s="823"/>
      <c r="AN107" s="823"/>
      <c r="AO107" s="823"/>
      <c r="AP107" s="823"/>
    </row>
    <row r="108" spans="1:42">
      <c r="A108" s="823"/>
      <c r="B108" s="1135"/>
      <c r="C108" s="1135"/>
      <c r="D108" s="1152" t="s">
        <v>557</v>
      </c>
      <c r="E108" s="823"/>
      <c r="F108" s="823"/>
      <c r="G108" s="823"/>
      <c r="H108" s="823"/>
      <c r="I108" s="823"/>
      <c r="J108" s="823"/>
      <c r="K108" s="823"/>
      <c r="L108" s="823"/>
      <c r="M108" s="823"/>
      <c r="N108" s="823"/>
      <c r="O108" s="823"/>
      <c r="P108" s="823"/>
      <c r="Q108" s="823"/>
      <c r="R108" s="823"/>
      <c r="S108" s="823"/>
      <c r="T108" s="823" t="s">
        <v>1255</v>
      </c>
      <c r="U108" s="823" t="s">
        <v>1255</v>
      </c>
      <c r="V108" s="823" t="s">
        <v>1255</v>
      </c>
      <c r="W108" s="823" t="s">
        <v>1255</v>
      </c>
      <c r="X108" s="823" t="s">
        <v>1255</v>
      </c>
      <c r="Y108" s="823" t="s">
        <v>1255</v>
      </c>
      <c r="Z108" s="823" t="s">
        <v>1255</v>
      </c>
      <c r="AA108" s="823" t="s">
        <v>1255</v>
      </c>
      <c r="AB108" s="833" t="s">
        <v>1255</v>
      </c>
      <c r="AC108" s="823" t="s">
        <v>1255</v>
      </c>
      <c r="AD108" s="823"/>
      <c r="AE108" s="823"/>
      <c r="AF108" s="823"/>
      <c r="AG108" s="823"/>
      <c r="AH108" s="823"/>
      <c r="AI108" s="823"/>
      <c r="AJ108" s="823"/>
      <c r="AK108" s="823"/>
      <c r="AL108" s="823"/>
      <c r="AM108" s="823"/>
      <c r="AN108" s="823"/>
      <c r="AO108" s="823"/>
      <c r="AP108" s="823"/>
    </row>
    <row r="109" spans="1:42">
      <c r="A109" s="823"/>
      <c r="B109" s="1135"/>
      <c r="C109" s="1135"/>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33"/>
      <c r="AC109" s="823"/>
      <c r="AD109" s="823"/>
      <c r="AE109" s="823"/>
      <c r="AF109" s="823"/>
      <c r="AG109" s="823"/>
      <c r="AH109" s="823"/>
      <c r="AI109" s="823"/>
      <c r="AJ109" s="823"/>
      <c r="AK109" s="823"/>
      <c r="AL109" s="823"/>
      <c r="AM109" s="823"/>
      <c r="AN109" s="823"/>
      <c r="AO109" s="823"/>
      <c r="AP109" s="823"/>
    </row>
    <row r="110" spans="1:42">
      <c r="A110" s="823"/>
      <c r="B110" s="1135"/>
      <c r="C110" s="1135"/>
      <c r="D110" s="1155" t="s">
        <v>891</v>
      </c>
      <c r="E110" s="1155"/>
      <c r="S110" s="823"/>
      <c r="T110" s="1158"/>
      <c r="U110" s="823"/>
      <c r="V110" s="823"/>
      <c r="W110" s="823"/>
      <c r="X110" s="823"/>
      <c r="Y110" s="823"/>
      <c r="Z110" s="823"/>
      <c r="AA110" s="823"/>
      <c r="AB110" s="833"/>
      <c r="AC110" s="823"/>
      <c r="AD110" s="823"/>
      <c r="AE110" s="823"/>
      <c r="AF110" s="823"/>
      <c r="AG110" s="823"/>
      <c r="AH110" s="823"/>
      <c r="AI110" s="823"/>
      <c r="AJ110" s="823"/>
      <c r="AK110" s="823"/>
      <c r="AL110" s="823"/>
      <c r="AM110" s="823"/>
      <c r="AN110" s="823"/>
      <c r="AO110" s="823"/>
      <c r="AP110" s="823"/>
    </row>
    <row r="111" spans="1:42" ht="12.75" customHeight="1">
      <c r="A111" s="823"/>
      <c r="B111" s="1135"/>
      <c r="C111" s="1135"/>
      <c r="D111" s="1367" t="s">
        <v>889</v>
      </c>
      <c r="E111" s="1367"/>
      <c r="F111" s="1367"/>
      <c r="G111" s="1367"/>
      <c r="H111" s="1367"/>
      <c r="I111" s="1367"/>
      <c r="J111" s="1367"/>
      <c r="K111" s="1367"/>
      <c r="L111" s="1367"/>
      <c r="M111" s="1367"/>
      <c r="N111" s="1367"/>
      <c r="O111" s="1367"/>
      <c r="P111" s="1367"/>
      <c r="Q111" s="1367"/>
      <c r="R111" s="1367"/>
      <c r="S111" s="823"/>
      <c r="T111" s="834">
        <v>1.0017079330567142</v>
      </c>
      <c r="U111" s="834">
        <v>1.0015663485196276</v>
      </c>
      <c r="V111" s="834">
        <v>1.0038662324587366</v>
      </c>
      <c r="W111" s="834">
        <v>1.0042387328336912</v>
      </c>
      <c r="X111" s="834">
        <v>1.0042312358347454</v>
      </c>
      <c r="Y111" s="834">
        <v>1.0044728275269907</v>
      </c>
      <c r="Z111" s="834">
        <v>1.0044604695240591</v>
      </c>
      <c r="AA111" s="834">
        <v>1.0050837675366247</v>
      </c>
      <c r="AB111" s="834">
        <v>1.0044763384198119</v>
      </c>
      <c r="AC111" s="834">
        <v>1.000793500820478</v>
      </c>
      <c r="AD111" s="823"/>
      <c r="AE111" s="823"/>
      <c r="AF111" s="823"/>
      <c r="AG111" s="823"/>
      <c r="AH111" s="823"/>
      <c r="AI111" s="823"/>
      <c r="AJ111" s="823"/>
      <c r="AK111" s="823"/>
      <c r="AL111" s="823"/>
      <c r="AM111" s="823"/>
      <c r="AN111" s="823"/>
      <c r="AO111" s="823"/>
      <c r="AP111" s="823"/>
    </row>
    <row r="112" spans="1:42" ht="12.75" customHeight="1">
      <c r="A112" s="823"/>
      <c r="B112" s="1135"/>
      <c r="C112" s="1135"/>
      <c r="D112" s="1367" t="s">
        <v>890</v>
      </c>
      <c r="E112" s="1367"/>
      <c r="F112" s="1367"/>
      <c r="G112" s="1367"/>
      <c r="H112" s="1367"/>
      <c r="I112" s="1367"/>
      <c r="J112" s="1367"/>
      <c r="K112" s="1367"/>
      <c r="L112" s="1367"/>
      <c r="M112" s="1367"/>
      <c r="N112" s="1367"/>
      <c r="O112" s="1367"/>
      <c r="P112" s="1367"/>
      <c r="Q112" s="1367"/>
      <c r="R112" s="1367"/>
      <c r="S112" s="823"/>
      <c r="T112" s="834">
        <v>-1.707933056714035E-3</v>
      </c>
      <c r="U112" s="834">
        <v>-1.5663485196277427E-3</v>
      </c>
      <c r="V112" s="834">
        <v>-3.8662324587368665E-3</v>
      </c>
      <c r="W112" s="834">
        <v>-4.2387328336913306E-3</v>
      </c>
      <c r="X112" s="834">
        <v>-4.2312358347454532E-3</v>
      </c>
      <c r="Y112" s="834">
        <v>-4.4728275269908012E-3</v>
      </c>
      <c r="Z112" s="834">
        <v>-4.4604695240592195E-3</v>
      </c>
      <c r="AA112" s="834">
        <v>-5.0837675366247181E-3</v>
      </c>
      <c r="AB112" s="834">
        <v>-4.4763384198118084E-3</v>
      </c>
      <c r="AC112" s="834">
        <v>-7.9350082047800286E-4</v>
      </c>
      <c r="AD112" s="823"/>
      <c r="AE112" s="823"/>
      <c r="AF112" s="823"/>
      <c r="AG112" s="823"/>
      <c r="AH112" s="823"/>
      <c r="AI112" s="823"/>
      <c r="AJ112" s="823"/>
      <c r="AK112" s="823"/>
      <c r="AL112" s="823"/>
      <c r="AM112" s="823"/>
      <c r="AN112" s="823"/>
      <c r="AO112" s="823"/>
      <c r="AP112" s="823"/>
    </row>
    <row r="113" spans="1:42">
      <c r="A113" s="823"/>
      <c r="B113" s="1135"/>
      <c r="C113" s="1135"/>
      <c r="D113" s="1368" t="s">
        <v>613</v>
      </c>
      <c r="E113" s="1368"/>
      <c r="F113" s="1368"/>
      <c r="G113" s="1368"/>
      <c r="H113" s="1368"/>
      <c r="I113" s="1368"/>
      <c r="J113" s="1368"/>
      <c r="K113" s="1368"/>
      <c r="L113" s="1368"/>
      <c r="M113" s="1368"/>
      <c r="N113" s="1368"/>
      <c r="O113" s="1368"/>
      <c r="P113" s="1368"/>
      <c r="Q113" s="1368"/>
      <c r="R113" s="1368"/>
      <c r="S113" s="823"/>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3"/>
      <c r="AE113" s="823"/>
      <c r="AF113" s="823"/>
      <c r="AG113" s="823"/>
      <c r="AH113" s="823"/>
      <c r="AI113" s="823"/>
      <c r="AJ113" s="823"/>
      <c r="AK113" s="823"/>
      <c r="AL113" s="823"/>
      <c r="AM113" s="823"/>
      <c r="AN113" s="823"/>
      <c r="AO113" s="823"/>
      <c r="AP113" s="823"/>
    </row>
    <row r="114" spans="1:42">
      <c r="A114" s="823"/>
      <c r="B114" s="1135"/>
      <c r="C114" s="1135"/>
      <c r="D114" s="1152" t="s">
        <v>557</v>
      </c>
      <c r="E114" s="823"/>
      <c r="F114" s="823"/>
      <c r="G114" s="823"/>
      <c r="H114" s="823"/>
      <c r="I114" s="823"/>
      <c r="J114" s="823"/>
      <c r="K114" s="823"/>
      <c r="L114" s="823"/>
      <c r="M114" s="823"/>
      <c r="N114" s="823"/>
      <c r="O114" s="823"/>
      <c r="P114" s="823"/>
      <c r="Q114" s="823"/>
      <c r="R114" s="823"/>
      <c r="S114" s="823"/>
      <c r="T114" s="823" t="s">
        <v>1255</v>
      </c>
      <c r="U114" s="823" t="s">
        <v>1255</v>
      </c>
      <c r="V114" s="823" t="s">
        <v>1255</v>
      </c>
      <c r="W114" s="823" t="s">
        <v>1255</v>
      </c>
      <c r="X114" s="823" t="s">
        <v>1255</v>
      </c>
      <c r="Y114" s="823" t="s">
        <v>1255</v>
      </c>
      <c r="Z114" s="823" t="s">
        <v>1255</v>
      </c>
      <c r="AA114" s="823" t="s">
        <v>1255</v>
      </c>
      <c r="AB114" s="833" t="s">
        <v>1255</v>
      </c>
      <c r="AC114" s="823" t="s">
        <v>1255</v>
      </c>
      <c r="AD114" s="823"/>
      <c r="AE114" s="823"/>
      <c r="AF114" s="823"/>
      <c r="AG114" s="823"/>
      <c r="AH114" s="823"/>
      <c r="AI114" s="823"/>
      <c r="AJ114" s="823"/>
      <c r="AK114" s="823"/>
      <c r="AL114" s="823"/>
      <c r="AM114" s="823"/>
      <c r="AN114" s="823"/>
      <c r="AO114" s="823"/>
      <c r="AP114" s="823"/>
    </row>
    <row r="115" spans="1:42">
      <c r="A115" s="823"/>
      <c r="B115" s="1135"/>
      <c r="C115" s="1135"/>
      <c r="D115" s="1152"/>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c r="AH115" s="823"/>
      <c r="AI115" s="823"/>
      <c r="AJ115" s="823"/>
      <c r="AK115" s="823"/>
      <c r="AL115" s="823"/>
      <c r="AM115" s="823"/>
      <c r="AN115" s="823"/>
      <c r="AO115" s="823"/>
      <c r="AP115" s="823"/>
    </row>
    <row r="116" spans="1:42">
      <c r="A116" s="823"/>
      <c r="B116" s="1135"/>
      <c r="C116" s="1135"/>
      <c r="D116" s="1152"/>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823"/>
      <c r="AM116" s="823"/>
      <c r="AN116" s="823"/>
      <c r="AO116" s="823"/>
      <c r="AP116" s="823"/>
    </row>
    <row r="117" spans="1:42">
      <c r="A117" s="823"/>
      <c r="B117" s="1142" t="s">
        <v>892</v>
      </c>
      <c r="C117" s="1135"/>
      <c r="D117" s="823"/>
      <c r="E117" s="823"/>
      <c r="F117" s="823"/>
      <c r="G117" s="823"/>
      <c r="H117" s="823"/>
      <c r="I117" s="823"/>
      <c r="J117" s="823"/>
      <c r="K117" s="823"/>
      <c r="L117" s="823"/>
      <c r="M117" s="823"/>
      <c r="N117" s="823"/>
      <c r="O117" s="823"/>
      <c r="P117" s="823"/>
      <c r="Q117" s="823"/>
      <c r="R117" s="823"/>
      <c r="S117" s="823"/>
      <c r="T117" s="823"/>
      <c r="U117" s="823"/>
      <c r="V117" s="823"/>
      <c r="W117" s="823"/>
      <c r="X117" s="823"/>
      <c r="Y117" s="823"/>
      <c r="Z117" s="823"/>
      <c r="AA117" s="823"/>
      <c r="AB117" s="823"/>
      <c r="AC117" s="823"/>
      <c r="AD117" s="823"/>
      <c r="AE117" s="823"/>
      <c r="AF117" s="823"/>
      <c r="AG117" s="823"/>
      <c r="AH117" s="823"/>
      <c r="AI117" s="823"/>
      <c r="AJ117" s="823"/>
      <c r="AK117" s="823"/>
      <c r="AL117" s="823"/>
      <c r="AM117" s="823"/>
      <c r="AN117" s="823"/>
      <c r="AO117" s="823"/>
      <c r="AP117" s="823"/>
    </row>
    <row r="118" spans="1:42">
      <c r="A118" s="823"/>
      <c r="B118" s="1142"/>
      <c r="C118" s="1135"/>
      <c r="D118" s="823"/>
      <c r="E118" s="823"/>
      <c r="F118" s="823"/>
      <c r="G118" s="823"/>
      <c r="H118" s="823"/>
      <c r="I118" s="823"/>
      <c r="J118" s="823"/>
      <c r="K118" s="823"/>
      <c r="L118" s="823"/>
      <c r="M118" s="823"/>
      <c r="N118" s="823"/>
      <c r="O118" s="823"/>
      <c r="P118" s="823"/>
      <c r="Q118" s="823"/>
      <c r="R118" s="823"/>
      <c r="S118" s="823"/>
      <c r="T118" s="823"/>
      <c r="U118" s="823"/>
      <c r="V118" s="823"/>
      <c r="W118" s="823"/>
      <c r="X118" s="823"/>
      <c r="Y118" s="823"/>
      <c r="Z118" s="823"/>
      <c r="AA118" s="823"/>
      <c r="AB118" s="823"/>
      <c r="AC118" s="823"/>
      <c r="AD118" s="823"/>
      <c r="AE118" s="823"/>
      <c r="AF118" s="823"/>
      <c r="AG118" s="823"/>
      <c r="AH118" s="823"/>
      <c r="AI118" s="823"/>
      <c r="AJ118" s="823"/>
      <c r="AK118" s="823"/>
      <c r="AL118" s="823"/>
      <c r="AM118" s="823"/>
      <c r="AN118" s="823"/>
      <c r="AO118" s="823"/>
      <c r="AP118" s="823"/>
    </row>
    <row r="119" spans="1:42">
      <c r="A119" s="823"/>
      <c r="B119" s="1142"/>
      <c r="C119" s="823"/>
      <c r="D119" s="1130" t="s">
        <v>780</v>
      </c>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3"/>
      <c r="AA119" s="823"/>
      <c r="AB119" s="823"/>
      <c r="AC119" s="823"/>
      <c r="AD119" s="823"/>
      <c r="AE119" s="823"/>
      <c r="AF119" s="823"/>
      <c r="AG119" s="823"/>
      <c r="AH119" s="823"/>
      <c r="AI119" s="823"/>
      <c r="AJ119" s="823"/>
      <c r="AK119" s="823"/>
      <c r="AL119" s="823"/>
      <c r="AM119" s="823"/>
      <c r="AN119" s="823"/>
      <c r="AO119" s="823"/>
      <c r="AP119" s="823"/>
    </row>
    <row r="120" spans="1:42">
      <c r="A120" s="823"/>
      <c r="B120" s="1135"/>
      <c r="C120" s="1135"/>
      <c r="D120" s="823" t="s">
        <v>781</v>
      </c>
      <c r="E120" s="823"/>
      <c r="F120" s="823"/>
      <c r="G120" s="823"/>
      <c r="H120" s="823"/>
      <c r="I120" s="823"/>
      <c r="J120" s="823"/>
      <c r="K120" s="823"/>
      <c r="L120" s="823"/>
      <c r="M120" s="823"/>
      <c r="N120" s="823"/>
      <c r="O120" s="823"/>
      <c r="P120" s="823"/>
      <c r="Q120" s="823"/>
      <c r="R120" s="823"/>
      <c r="S120" s="823"/>
      <c r="T120" s="766">
        <v>5272.9962319368333</v>
      </c>
      <c r="U120" s="766">
        <v>5747.6422319368339</v>
      </c>
      <c r="V120" s="766">
        <v>6340.9682618711468</v>
      </c>
      <c r="W120" s="766">
        <v>5959.9964027472688</v>
      </c>
      <c r="X120" s="766">
        <v>5959.9964027472688</v>
      </c>
      <c r="Y120" s="766">
        <v>5959.9964027472688</v>
      </c>
      <c r="Z120" s="766">
        <v>5959.9964027472688</v>
      </c>
      <c r="AA120" s="766">
        <v>5113.1584027472682</v>
      </c>
      <c r="AB120" s="766">
        <v>4052.5451188337179</v>
      </c>
      <c r="AC120" s="766">
        <v>3691.2947830837179</v>
      </c>
      <c r="AD120" s="823"/>
      <c r="AE120" s="823"/>
      <c r="AF120" s="823"/>
      <c r="AG120" s="823"/>
      <c r="AH120" s="823"/>
      <c r="AI120" s="823"/>
      <c r="AJ120" s="823"/>
      <c r="AK120" s="823"/>
      <c r="AL120" s="823"/>
      <c r="AM120" s="823"/>
      <c r="AN120" s="823"/>
      <c r="AO120" s="823"/>
      <c r="AP120" s="823"/>
    </row>
    <row r="121" spans="1:42">
      <c r="A121" s="823"/>
      <c r="B121" s="1135"/>
      <c r="C121" s="1135"/>
      <c r="D121" s="823" t="s">
        <v>782</v>
      </c>
      <c r="E121" s="823"/>
      <c r="F121" s="823"/>
      <c r="G121" s="823"/>
      <c r="H121" s="823"/>
      <c r="I121" s="823"/>
      <c r="J121" s="823"/>
      <c r="K121" s="823"/>
      <c r="L121" s="823"/>
      <c r="M121" s="823"/>
      <c r="N121" s="823"/>
      <c r="O121" s="823"/>
      <c r="P121" s="823"/>
      <c r="Q121" s="823"/>
      <c r="R121" s="823"/>
      <c r="S121" s="823"/>
      <c r="T121" s="766">
        <v>400</v>
      </c>
      <c r="U121" s="766">
        <v>400</v>
      </c>
      <c r="V121" s="766">
        <v>550</v>
      </c>
      <c r="W121" s="766">
        <v>550</v>
      </c>
      <c r="X121" s="766">
        <v>550</v>
      </c>
      <c r="Y121" s="766">
        <v>150</v>
      </c>
      <c r="Z121" s="766">
        <v>150</v>
      </c>
      <c r="AA121" s="766">
        <v>150</v>
      </c>
      <c r="AB121" s="766">
        <v>150</v>
      </c>
      <c r="AC121" s="766">
        <v>0</v>
      </c>
      <c r="AD121" s="823"/>
      <c r="AE121" s="823"/>
      <c r="AF121" s="823"/>
      <c r="AG121" s="823"/>
      <c r="AH121" s="823"/>
      <c r="AI121" s="823"/>
      <c r="AJ121" s="823"/>
      <c r="AK121" s="823"/>
      <c r="AL121" s="823"/>
      <c r="AM121" s="823"/>
      <c r="AN121" s="823"/>
      <c r="AO121" s="823"/>
      <c r="AP121" s="823"/>
    </row>
    <row r="122" spans="1:42">
      <c r="A122" s="823"/>
      <c r="B122" s="1135"/>
      <c r="C122" s="1135"/>
      <c r="D122" s="823" t="s">
        <v>893</v>
      </c>
      <c r="E122" s="823"/>
      <c r="F122" s="823"/>
      <c r="G122" s="823"/>
      <c r="H122" s="823"/>
      <c r="I122" s="823"/>
      <c r="J122" s="823"/>
      <c r="K122" s="823"/>
      <c r="L122" s="823"/>
      <c r="M122" s="823"/>
      <c r="N122" s="823"/>
      <c r="O122" s="823"/>
      <c r="P122" s="823"/>
      <c r="Q122" s="823"/>
      <c r="R122" s="823"/>
      <c r="S122" s="823"/>
      <c r="T122" s="766">
        <v>992.82009992259157</v>
      </c>
      <c r="U122" s="766">
        <v>1120.7070022889534</v>
      </c>
      <c r="V122" s="766">
        <v>781.30402010804903</v>
      </c>
      <c r="W122" s="766">
        <v>593.45843484185571</v>
      </c>
      <c r="X122" s="766">
        <v>606.04449610371819</v>
      </c>
      <c r="Y122" s="766">
        <v>621.68441236109015</v>
      </c>
      <c r="Z122" s="766">
        <v>640.33494473192343</v>
      </c>
      <c r="AA122" s="766">
        <v>659.5449930738821</v>
      </c>
      <c r="AB122" s="766">
        <v>679.33134286609913</v>
      </c>
      <c r="AC122" s="766">
        <v>699.71128315208284</v>
      </c>
      <c r="AD122" s="823"/>
      <c r="AE122" s="823"/>
      <c r="AF122" s="823"/>
      <c r="AG122" s="823"/>
      <c r="AH122" s="823"/>
      <c r="AI122" s="823"/>
      <c r="AJ122" s="823"/>
      <c r="AK122" s="823"/>
      <c r="AL122" s="823"/>
      <c r="AM122" s="823"/>
      <c r="AN122" s="823"/>
      <c r="AO122" s="823"/>
      <c r="AP122" s="823"/>
    </row>
    <row r="123" spans="1:42">
      <c r="A123" s="823"/>
      <c r="B123" s="1135"/>
      <c r="C123" s="1135"/>
      <c r="D123" s="823" t="s">
        <v>894</v>
      </c>
      <c r="E123" s="823"/>
      <c r="F123" s="823"/>
      <c r="G123" s="823"/>
      <c r="H123" s="823"/>
      <c r="I123" s="823"/>
      <c r="J123" s="823"/>
      <c r="K123" s="823"/>
      <c r="L123" s="823"/>
      <c r="M123" s="823"/>
      <c r="N123" s="823"/>
      <c r="O123" s="823"/>
      <c r="P123" s="823"/>
      <c r="Q123" s="823"/>
      <c r="R123" s="823"/>
      <c r="S123" s="823"/>
      <c r="T123" s="766">
        <v>0</v>
      </c>
      <c r="U123" s="766">
        <v>0</v>
      </c>
      <c r="V123" s="766">
        <v>0</v>
      </c>
      <c r="W123" s="766">
        <v>0</v>
      </c>
      <c r="X123" s="766">
        <v>0</v>
      </c>
      <c r="Y123" s="766">
        <v>0</v>
      </c>
      <c r="Z123" s="766">
        <v>0</v>
      </c>
      <c r="AA123" s="766">
        <v>0</v>
      </c>
      <c r="AB123" s="766">
        <v>0</v>
      </c>
      <c r="AC123" s="766">
        <v>0</v>
      </c>
      <c r="AD123" s="823"/>
      <c r="AE123" s="823"/>
      <c r="AF123" s="823"/>
      <c r="AG123" s="823"/>
      <c r="AH123" s="823"/>
      <c r="AI123" s="823"/>
      <c r="AJ123" s="823"/>
      <c r="AK123" s="823"/>
      <c r="AL123" s="823"/>
      <c r="AM123" s="823"/>
      <c r="AN123" s="823"/>
      <c r="AO123" s="823"/>
      <c r="AP123" s="823"/>
    </row>
    <row r="124" spans="1:42">
      <c r="A124" s="823"/>
      <c r="B124" s="1135"/>
      <c r="C124" s="1135"/>
      <c r="D124" s="823" t="s">
        <v>895</v>
      </c>
      <c r="E124" s="823"/>
      <c r="F124" s="823"/>
      <c r="G124" s="823"/>
      <c r="H124" s="823"/>
      <c r="I124" s="823"/>
      <c r="J124" s="823"/>
      <c r="K124" s="823"/>
      <c r="L124" s="823"/>
      <c r="M124" s="823"/>
      <c r="N124" s="823"/>
      <c r="O124" s="823"/>
      <c r="P124" s="823"/>
      <c r="Q124" s="823"/>
      <c r="R124" s="823"/>
      <c r="S124" s="823"/>
      <c r="T124" s="766">
        <v>0</v>
      </c>
      <c r="U124" s="766">
        <v>0</v>
      </c>
      <c r="V124" s="766">
        <v>0</v>
      </c>
      <c r="W124" s="766">
        <v>0</v>
      </c>
      <c r="X124" s="766">
        <v>0</v>
      </c>
      <c r="Y124" s="766">
        <v>0</v>
      </c>
      <c r="Z124" s="766">
        <v>0</v>
      </c>
      <c r="AA124" s="766">
        <v>0</v>
      </c>
      <c r="AB124" s="766">
        <v>0</v>
      </c>
      <c r="AC124" s="766">
        <v>0</v>
      </c>
      <c r="AD124" s="823"/>
      <c r="AE124" s="823"/>
      <c r="AF124" s="823"/>
      <c r="AG124" s="823"/>
      <c r="AH124" s="823"/>
      <c r="AI124" s="823"/>
      <c r="AJ124" s="823"/>
      <c r="AK124" s="823"/>
      <c r="AL124" s="823"/>
      <c r="AM124" s="823"/>
      <c r="AN124" s="823"/>
      <c r="AO124" s="823"/>
      <c r="AP124" s="823"/>
    </row>
    <row r="125" spans="1:42">
      <c r="A125" s="823"/>
      <c r="B125" s="1135"/>
      <c r="C125" s="1135"/>
      <c r="D125" s="1130" t="s">
        <v>613</v>
      </c>
      <c r="E125" s="1130"/>
      <c r="F125" s="1130"/>
      <c r="G125" s="1130"/>
      <c r="H125" s="1130"/>
      <c r="I125" s="1130"/>
      <c r="J125" s="1130"/>
      <c r="K125" s="1130"/>
      <c r="L125" s="1130"/>
      <c r="M125" s="1130"/>
      <c r="N125" s="1130"/>
      <c r="O125" s="1130"/>
      <c r="P125" s="1130"/>
      <c r="Q125" s="1130"/>
      <c r="R125" s="1130"/>
      <c r="S125" s="1130"/>
      <c r="T125" s="770">
        <v>6665.8163318594252</v>
      </c>
      <c r="U125" s="770">
        <v>7268.3492342257869</v>
      </c>
      <c r="V125" s="770">
        <v>7672.2722819791961</v>
      </c>
      <c r="W125" s="770">
        <v>7103.4548375891245</v>
      </c>
      <c r="X125" s="770">
        <v>7116.0408988509871</v>
      </c>
      <c r="Y125" s="770">
        <v>6731.6808151083587</v>
      </c>
      <c r="Z125" s="770">
        <v>6750.3313474791921</v>
      </c>
      <c r="AA125" s="770">
        <v>5922.7033958211505</v>
      </c>
      <c r="AB125" s="770">
        <v>4881.8764616998169</v>
      </c>
      <c r="AC125" s="770">
        <v>4391.006066235801</v>
      </c>
      <c r="AD125" s="823"/>
      <c r="AE125" s="823"/>
      <c r="AF125" s="823"/>
      <c r="AG125" s="823"/>
      <c r="AH125" s="823"/>
      <c r="AI125" s="823"/>
      <c r="AJ125" s="823"/>
      <c r="AK125" s="823"/>
      <c r="AL125" s="823"/>
      <c r="AM125" s="823"/>
      <c r="AN125" s="823"/>
      <c r="AO125" s="823"/>
      <c r="AP125" s="823"/>
    </row>
    <row r="126" spans="1:42">
      <c r="A126" s="823"/>
      <c r="B126" s="1135"/>
      <c r="C126" s="1135"/>
      <c r="D126" s="823"/>
      <c r="E126" s="823"/>
      <c r="F126" s="823"/>
      <c r="G126" s="823"/>
      <c r="H126" s="823"/>
      <c r="I126" s="823"/>
      <c r="J126" s="823"/>
      <c r="K126" s="823"/>
      <c r="L126" s="823"/>
      <c r="M126" s="823"/>
      <c r="N126" s="823"/>
      <c r="O126" s="823"/>
      <c r="P126" s="823"/>
      <c r="Q126" s="823"/>
      <c r="R126" s="823"/>
      <c r="S126" s="823"/>
      <c r="T126" s="823"/>
      <c r="U126" s="823"/>
      <c r="V126" s="823"/>
      <c r="W126" s="823"/>
      <c r="X126" s="823"/>
      <c r="Y126" s="823"/>
      <c r="Z126" s="823"/>
      <c r="AA126" s="823"/>
      <c r="AB126" s="823"/>
      <c r="AC126" s="823"/>
      <c r="AD126" s="823"/>
      <c r="AE126" s="823"/>
      <c r="AF126" s="823"/>
      <c r="AG126" s="823"/>
      <c r="AH126" s="823"/>
      <c r="AI126" s="823"/>
      <c r="AJ126" s="823"/>
      <c r="AK126" s="823"/>
      <c r="AL126" s="823"/>
      <c r="AM126" s="823"/>
      <c r="AN126" s="823"/>
      <c r="AO126" s="823"/>
      <c r="AP126" s="823"/>
    </row>
    <row r="127" spans="1:42">
      <c r="A127" s="823"/>
      <c r="B127" s="1142"/>
      <c r="C127" s="823"/>
      <c r="D127" s="1130" t="s">
        <v>789</v>
      </c>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3"/>
      <c r="AA127" s="823"/>
      <c r="AB127" s="823"/>
      <c r="AC127" s="823"/>
      <c r="AD127" s="823"/>
      <c r="AE127" s="823"/>
      <c r="AF127" s="823"/>
      <c r="AG127" s="823"/>
      <c r="AH127" s="823"/>
      <c r="AI127" s="823"/>
      <c r="AJ127" s="823"/>
      <c r="AK127" s="823"/>
      <c r="AL127" s="823"/>
      <c r="AM127" s="823"/>
      <c r="AN127" s="823"/>
      <c r="AO127" s="823"/>
      <c r="AP127" s="823"/>
    </row>
    <row r="128" spans="1:42">
      <c r="A128" s="823"/>
      <c r="B128" s="1135"/>
      <c r="C128" s="1135"/>
      <c r="D128" s="823" t="s">
        <v>781</v>
      </c>
      <c r="E128" s="823"/>
      <c r="F128" s="823"/>
      <c r="G128" s="823"/>
      <c r="H128" s="823"/>
      <c r="I128" s="823"/>
      <c r="J128" s="823"/>
      <c r="K128" s="823"/>
      <c r="L128" s="823"/>
      <c r="M128" s="823"/>
      <c r="N128" s="823"/>
      <c r="O128" s="823"/>
      <c r="P128" s="823"/>
      <c r="Q128" s="823"/>
      <c r="R128" s="823"/>
      <c r="S128" s="823"/>
      <c r="T128" s="766">
        <v>-1000</v>
      </c>
      <c r="U128" s="766">
        <v>-1000</v>
      </c>
      <c r="V128" s="766">
        <v>-1387.22</v>
      </c>
      <c r="W128" s="766">
        <v>-1387.22</v>
      </c>
      <c r="X128" s="766">
        <v>-1387.22</v>
      </c>
      <c r="Y128" s="766">
        <v>-1387.22</v>
      </c>
      <c r="Z128" s="766">
        <v>-1287.22</v>
      </c>
      <c r="AA128" s="766">
        <v>-1087.22</v>
      </c>
      <c r="AB128" s="766">
        <v>-1015</v>
      </c>
      <c r="AC128" s="766">
        <v>-615</v>
      </c>
      <c r="AD128" s="823"/>
      <c r="AE128" s="823"/>
      <c r="AF128" s="823"/>
      <c r="AG128" s="823"/>
      <c r="AH128" s="823"/>
      <c r="AI128" s="823"/>
      <c r="AJ128" s="823"/>
      <c r="AK128" s="823"/>
      <c r="AL128" s="823"/>
      <c r="AM128" s="823"/>
      <c r="AN128" s="823"/>
      <c r="AO128" s="823"/>
      <c r="AP128" s="823"/>
    </row>
    <row r="129" spans="1:42">
      <c r="A129" s="823"/>
      <c r="B129" s="1135"/>
      <c r="C129" s="1135"/>
      <c r="D129" s="823" t="s">
        <v>782</v>
      </c>
      <c r="E129" s="823"/>
      <c r="F129" s="823"/>
      <c r="G129" s="823"/>
      <c r="H129" s="823"/>
      <c r="I129" s="823"/>
      <c r="J129" s="823"/>
      <c r="K129" s="823"/>
      <c r="L129" s="823"/>
      <c r="M129" s="823"/>
      <c r="N129" s="823"/>
      <c r="O129" s="823"/>
      <c r="P129" s="823"/>
      <c r="Q129" s="823"/>
      <c r="R129" s="823"/>
      <c r="S129" s="823"/>
      <c r="T129" s="766">
        <v>-400</v>
      </c>
      <c r="U129" s="766">
        <v>-400</v>
      </c>
      <c r="V129" s="766">
        <v>-12.779999999999973</v>
      </c>
      <c r="W129" s="766">
        <v>-12.779999999999973</v>
      </c>
      <c r="X129" s="766">
        <v>-12.779999999999973</v>
      </c>
      <c r="Y129" s="766">
        <v>387.22</v>
      </c>
      <c r="Z129" s="766">
        <v>387.22</v>
      </c>
      <c r="AA129" s="766">
        <v>387.22</v>
      </c>
      <c r="AB129" s="766">
        <v>315</v>
      </c>
      <c r="AC129" s="766">
        <v>315</v>
      </c>
      <c r="AD129" s="823"/>
      <c r="AE129" s="823"/>
      <c r="AF129" s="823"/>
      <c r="AG129" s="823"/>
      <c r="AH129" s="823"/>
      <c r="AI129" s="823"/>
      <c r="AJ129" s="823"/>
      <c r="AK129" s="823"/>
      <c r="AL129" s="823"/>
      <c r="AM129" s="823"/>
      <c r="AN129" s="823"/>
      <c r="AO129" s="823"/>
      <c r="AP129" s="823"/>
    </row>
    <row r="130" spans="1:42">
      <c r="A130" s="823"/>
      <c r="B130" s="1135"/>
      <c r="C130" s="1135"/>
      <c r="D130" s="823" t="s">
        <v>893</v>
      </c>
      <c r="E130" s="823"/>
      <c r="F130" s="823"/>
      <c r="G130" s="823"/>
      <c r="H130" s="823"/>
      <c r="I130" s="823"/>
      <c r="J130" s="823"/>
      <c r="K130" s="823"/>
      <c r="L130" s="823"/>
      <c r="M130" s="823"/>
      <c r="N130" s="823"/>
      <c r="O130" s="823"/>
      <c r="P130" s="823"/>
      <c r="Q130" s="823"/>
      <c r="R130" s="823"/>
      <c r="S130" s="823"/>
      <c r="T130" s="766">
        <v>400</v>
      </c>
      <c r="U130" s="766">
        <v>400</v>
      </c>
      <c r="V130" s="766">
        <v>400</v>
      </c>
      <c r="W130" s="766">
        <v>400</v>
      </c>
      <c r="X130" s="766">
        <v>400</v>
      </c>
      <c r="Y130" s="766">
        <v>0</v>
      </c>
      <c r="Z130" s="766">
        <v>0</v>
      </c>
      <c r="AA130" s="766">
        <v>0</v>
      </c>
      <c r="AB130" s="766">
        <v>0</v>
      </c>
      <c r="AC130" s="766">
        <v>0</v>
      </c>
      <c r="AD130" s="823"/>
      <c r="AE130" s="823"/>
      <c r="AF130" s="823"/>
      <c r="AG130" s="823"/>
      <c r="AH130" s="823"/>
      <c r="AI130" s="823"/>
      <c r="AJ130" s="823"/>
      <c r="AK130" s="823"/>
      <c r="AL130" s="823"/>
      <c r="AM130" s="823"/>
      <c r="AN130" s="823"/>
      <c r="AO130" s="823"/>
      <c r="AP130" s="823"/>
    </row>
    <row r="131" spans="1:42">
      <c r="A131" s="823"/>
      <c r="B131" s="1135"/>
      <c r="C131" s="1135"/>
      <c r="D131" s="823" t="s">
        <v>894</v>
      </c>
      <c r="E131" s="823"/>
      <c r="F131" s="823"/>
      <c r="G131" s="823"/>
      <c r="H131" s="823"/>
      <c r="I131" s="823"/>
      <c r="J131" s="823"/>
      <c r="K131" s="823"/>
      <c r="L131" s="823"/>
      <c r="M131" s="823"/>
      <c r="N131" s="823"/>
      <c r="O131" s="823"/>
      <c r="P131" s="823"/>
      <c r="Q131" s="823"/>
      <c r="R131" s="823"/>
      <c r="S131" s="823"/>
      <c r="T131" s="766">
        <v>1000</v>
      </c>
      <c r="U131" s="766">
        <v>1000</v>
      </c>
      <c r="V131" s="766">
        <v>1000</v>
      </c>
      <c r="W131" s="766">
        <v>1000</v>
      </c>
      <c r="X131" s="766">
        <v>1000</v>
      </c>
      <c r="Y131" s="766">
        <v>1000</v>
      </c>
      <c r="Z131" s="766">
        <v>900</v>
      </c>
      <c r="AA131" s="766">
        <v>700</v>
      </c>
      <c r="AB131" s="766">
        <v>700</v>
      </c>
      <c r="AC131" s="766">
        <v>300</v>
      </c>
      <c r="AD131" s="823"/>
      <c r="AE131" s="823"/>
      <c r="AF131" s="823"/>
      <c r="AG131" s="823"/>
      <c r="AH131" s="823"/>
      <c r="AI131" s="823"/>
      <c r="AJ131" s="823"/>
      <c r="AK131" s="823"/>
      <c r="AL131" s="823"/>
      <c r="AM131" s="823"/>
      <c r="AN131" s="823"/>
      <c r="AO131" s="823"/>
      <c r="AP131" s="823"/>
    </row>
    <row r="132" spans="1:42">
      <c r="A132" s="823"/>
      <c r="B132" s="1135"/>
      <c r="C132" s="1135"/>
      <c r="D132" s="823" t="s">
        <v>895</v>
      </c>
      <c r="E132" s="823"/>
      <c r="F132" s="823"/>
      <c r="G132" s="823"/>
      <c r="H132" s="823"/>
      <c r="I132" s="823"/>
      <c r="J132" s="823"/>
      <c r="K132" s="823"/>
      <c r="L132" s="823"/>
      <c r="M132" s="823"/>
      <c r="N132" s="823"/>
      <c r="O132" s="823"/>
      <c r="P132" s="823"/>
      <c r="Q132" s="823"/>
      <c r="R132" s="823"/>
      <c r="S132" s="823"/>
      <c r="T132" s="766">
        <v>0</v>
      </c>
      <c r="U132" s="766">
        <v>0</v>
      </c>
      <c r="V132" s="766">
        <v>0</v>
      </c>
      <c r="W132" s="766">
        <v>0</v>
      </c>
      <c r="X132" s="766">
        <v>0</v>
      </c>
      <c r="Y132" s="766">
        <v>0</v>
      </c>
      <c r="Z132" s="766">
        <v>0</v>
      </c>
      <c r="AA132" s="766">
        <v>0</v>
      </c>
      <c r="AB132" s="766">
        <v>0</v>
      </c>
      <c r="AC132" s="766">
        <v>0</v>
      </c>
      <c r="AD132" s="823"/>
      <c r="AE132" s="823"/>
      <c r="AF132" s="823"/>
      <c r="AG132" s="823"/>
      <c r="AH132" s="823"/>
      <c r="AI132" s="823"/>
      <c r="AJ132" s="823"/>
      <c r="AK132" s="823"/>
      <c r="AL132" s="823"/>
      <c r="AM132" s="823"/>
      <c r="AN132" s="823"/>
      <c r="AO132" s="823"/>
      <c r="AP132" s="823"/>
    </row>
    <row r="133" spans="1:42">
      <c r="A133" s="823"/>
      <c r="B133" s="1135"/>
      <c r="C133" s="1135"/>
      <c r="D133" s="1130" t="s">
        <v>613</v>
      </c>
      <c r="E133" s="1130"/>
      <c r="F133" s="1130"/>
      <c r="G133" s="1130"/>
      <c r="H133" s="1130"/>
      <c r="I133" s="1130"/>
      <c r="J133" s="1130"/>
      <c r="K133" s="1130"/>
      <c r="L133" s="1130"/>
      <c r="M133" s="1130"/>
      <c r="N133" s="1130"/>
      <c r="O133" s="1130"/>
      <c r="P133" s="1130"/>
      <c r="Q133" s="1130"/>
      <c r="R133" s="1130"/>
      <c r="S133" s="1130"/>
      <c r="T133" s="770">
        <v>0</v>
      </c>
      <c r="U133" s="770">
        <v>0</v>
      </c>
      <c r="V133" s="770">
        <v>0</v>
      </c>
      <c r="W133" s="770">
        <v>0</v>
      </c>
      <c r="X133" s="770">
        <v>0</v>
      </c>
      <c r="Y133" s="770">
        <v>0</v>
      </c>
      <c r="Z133" s="770">
        <v>0</v>
      </c>
      <c r="AA133" s="770">
        <v>0</v>
      </c>
      <c r="AB133" s="770">
        <v>0</v>
      </c>
      <c r="AC133" s="770">
        <v>0</v>
      </c>
      <c r="AD133" s="823"/>
      <c r="AE133" s="823"/>
      <c r="AF133" s="823"/>
      <c r="AG133" s="823"/>
      <c r="AH133" s="823"/>
      <c r="AI133" s="823"/>
      <c r="AJ133" s="823"/>
      <c r="AK133" s="823"/>
      <c r="AL133" s="823"/>
      <c r="AM133" s="823"/>
      <c r="AN133" s="823"/>
      <c r="AO133" s="823"/>
      <c r="AP133" s="823"/>
    </row>
    <row r="134" spans="1:42">
      <c r="A134" s="823"/>
      <c r="B134" s="1135"/>
      <c r="C134" s="1135"/>
      <c r="D134" s="1130"/>
      <c r="E134" s="823"/>
      <c r="F134" s="823"/>
      <c r="G134" s="823"/>
      <c r="H134" s="823"/>
      <c r="I134" s="823"/>
      <c r="J134" s="823"/>
      <c r="K134" s="823"/>
      <c r="L134" s="823"/>
      <c r="M134" s="823"/>
      <c r="N134" s="823"/>
      <c r="O134" s="823"/>
      <c r="P134" s="823"/>
      <c r="Q134" s="823"/>
      <c r="R134" s="823"/>
      <c r="S134" s="823"/>
      <c r="T134" s="823"/>
      <c r="U134" s="823"/>
      <c r="V134" s="823"/>
      <c r="W134" s="823"/>
      <c r="X134" s="823"/>
      <c r="Y134" s="823"/>
      <c r="Z134" s="823"/>
      <c r="AA134" s="823"/>
      <c r="AB134" s="823"/>
      <c r="AC134" s="823"/>
      <c r="AD134" s="823"/>
      <c r="AE134" s="823"/>
      <c r="AF134" s="823"/>
      <c r="AG134" s="823"/>
      <c r="AH134" s="823"/>
      <c r="AI134" s="823"/>
      <c r="AJ134" s="823"/>
      <c r="AK134" s="823"/>
      <c r="AL134" s="823"/>
      <c r="AM134" s="823"/>
      <c r="AN134" s="823"/>
      <c r="AO134" s="823"/>
      <c r="AP134" s="823"/>
    </row>
    <row r="135" spans="1:42">
      <c r="A135" s="823"/>
      <c r="B135" s="1142"/>
      <c r="C135" s="823"/>
      <c r="D135" s="1130" t="s">
        <v>790</v>
      </c>
      <c r="E135" s="823"/>
      <c r="F135" s="823"/>
      <c r="G135" s="823"/>
      <c r="H135" s="823"/>
      <c r="I135" s="823"/>
      <c r="J135" s="823"/>
      <c r="K135" s="823"/>
      <c r="L135" s="823"/>
      <c r="M135" s="823"/>
      <c r="N135" s="823"/>
      <c r="O135" s="823"/>
      <c r="P135" s="823"/>
      <c r="Q135" s="823"/>
      <c r="R135" s="823"/>
      <c r="S135" s="823"/>
      <c r="T135" s="823"/>
      <c r="U135" s="823"/>
      <c r="V135" s="823"/>
      <c r="W135" s="823"/>
      <c r="X135" s="823"/>
      <c r="Y135" s="823"/>
      <c r="Z135" s="823"/>
      <c r="AA135" s="823"/>
      <c r="AB135" s="823"/>
      <c r="AC135" s="823"/>
      <c r="AD135" s="823"/>
      <c r="AE135" s="823"/>
      <c r="AF135" s="823"/>
      <c r="AG135" s="823"/>
      <c r="AH135" s="823"/>
      <c r="AI135" s="823"/>
      <c r="AJ135" s="823"/>
      <c r="AK135" s="823"/>
      <c r="AL135" s="823"/>
      <c r="AM135" s="823"/>
      <c r="AN135" s="823"/>
      <c r="AO135" s="823"/>
      <c r="AP135" s="823"/>
    </row>
    <row r="136" spans="1:42">
      <c r="A136" s="823"/>
      <c r="B136" s="1135"/>
      <c r="C136" s="1135"/>
      <c r="D136" s="823" t="s">
        <v>781</v>
      </c>
      <c r="E136" s="823"/>
      <c r="F136" s="823"/>
      <c r="G136" s="823"/>
      <c r="H136" s="823"/>
      <c r="I136" s="823"/>
      <c r="J136" s="823"/>
      <c r="K136" s="823"/>
      <c r="L136" s="823"/>
      <c r="M136" s="823"/>
      <c r="N136" s="823"/>
      <c r="O136" s="823"/>
      <c r="P136" s="823"/>
      <c r="Q136" s="823"/>
      <c r="R136" s="823"/>
      <c r="S136" s="823"/>
      <c r="T136" s="766">
        <v>4272.9962319368333</v>
      </c>
      <c r="U136" s="766">
        <v>4747.6422319368339</v>
      </c>
      <c r="V136" s="766">
        <v>4953.7482618711465</v>
      </c>
      <c r="W136" s="766">
        <v>4572.7764027472685</v>
      </c>
      <c r="X136" s="766">
        <v>4572.7764027472685</v>
      </c>
      <c r="Y136" s="766">
        <v>4572.7764027472685</v>
      </c>
      <c r="Z136" s="766">
        <v>4672.7764027472685</v>
      </c>
      <c r="AA136" s="766">
        <v>4025.9384027472679</v>
      </c>
      <c r="AB136" s="766">
        <v>3037.5451188337179</v>
      </c>
      <c r="AC136" s="766">
        <v>3076.2947830837179</v>
      </c>
      <c r="AD136" s="823"/>
      <c r="AE136" s="823"/>
      <c r="AF136" s="823"/>
      <c r="AG136" s="823"/>
      <c r="AH136" s="823"/>
      <c r="AI136" s="823"/>
      <c r="AJ136" s="823"/>
      <c r="AK136" s="823"/>
      <c r="AL136" s="823"/>
      <c r="AM136" s="823"/>
      <c r="AN136" s="823"/>
      <c r="AO136" s="823"/>
      <c r="AP136" s="823"/>
    </row>
    <row r="137" spans="1:42">
      <c r="A137" s="823"/>
      <c r="B137" s="1135"/>
      <c r="C137" s="1135"/>
      <c r="D137" s="823" t="s">
        <v>782</v>
      </c>
      <c r="E137" s="823"/>
      <c r="F137" s="823"/>
      <c r="G137" s="823"/>
      <c r="H137" s="823"/>
      <c r="I137" s="823"/>
      <c r="J137" s="823"/>
      <c r="K137" s="823"/>
      <c r="L137" s="823"/>
      <c r="M137" s="823"/>
      <c r="N137" s="823"/>
      <c r="O137" s="823"/>
      <c r="P137" s="823"/>
      <c r="Q137" s="823"/>
      <c r="R137" s="823"/>
      <c r="S137" s="823"/>
      <c r="T137" s="766">
        <v>0</v>
      </c>
      <c r="U137" s="766">
        <v>0</v>
      </c>
      <c r="V137" s="766">
        <v>537.22</v>
      </c>
      <c r="W137" s="766">
        <v>537.22</v>
      </c>
      <c r="X137" s="766">
        <v>537.22</v>
      </c>
      <c r="Y137" s="766">
        <v>537.22</v>
      </c>
      <c r="Z137" s="766">
        <v>537.22</v>
      </c>
      <c r="AA137" s="766">
        <v>537.22</v>
      </c>
      <c r="AB137" s="766">
        <v>465</v>
      </c>
      <c r="AC137" s="766">
        <v>315</v>
      </c>
      <c r="AD137" s="823"/>
      <c r="AE137" s="823"/>
      <c r="AF137" s="823"/>
      <c r="AG137" s="823"/>
      <c r="AH137" s="823"/>
      <c r="AI137" s="823"/>
      <c r="AJ137" s="823"/>
      <c r="AK137" s="823"/>
      <c r="AL137" s="823"/>
      <c r="AM137" s="823"/>
      <c r="AN137" s="823"/>
      <c r="AO137" s="823"/>
      <c r="AP137" s="823"/>
    </row>
    <row r="138" spans="1:42">
      <c r="A138" s="823"/>
      <c r="B138" s="1135"/>
      <c r="C138" s="1135"/>
      <c r="D138" s="823" t="s">
        <v>893</v>
      </c>
      <c r="E138" s="823"/>
      <c r="F138" s="823"/>
      <c r="G138" s="823"/>
      <c r="H138" s="823"/>
      <c r="I138" s="823"/>
      <c r="J138" s="823"/>
      <c r="K138" s="823"/>
      <c r="L138" s="823"/>
      <c r="M138" s="823"/>
      <c r="N138" s="823"/>
      <c r="O138" s="823"/>
      <c r="P138" s="823"/>
      <c r="Q138" s="823"/>
      <c r="R138" s="823"/>
      <c r="S138" s="823"/>
      <c r="T138" s="766">
        <v>1392.8200999225915</v>
      </c>
      <c r="U138" s="766">
        <v>1520.7070022889534</v>
      </c>
      <c r="V138" s="766">
        <v>1181.3040201080489</v>
      </c>
      <c r="W138" s="766">
        <v>993.45843484185571</v>
      </c>
      <c r="X138" s="766">
        <v>1006.0444961037182</v>
      </c>
      <c r="Y138" s="766">
        <v>621.68441236109015</v>
      </c>
      <c r="Z138" s="766">
        <v>640.33494473192343</v>
      </c>
      <c r="AA138" s="766">
        <v>659.5449930738821</v>
      </c>
      <c r="AB138" s="766">
        <v>679.33134286609913</v>
      </c>
      <c r="AC138" s="766">
        <v>699.71128315208284</v>
      </c>
      <c r="AD138" s="823"/>
      <c r="AE138" s="823"/>
      <c r="AF138" s="823"/>
      <c r="AG138" s="823"/>
      <c r="AH138" s="823"/>
      <c r="AI138" s="823"/>
      <c r="AJ138" s="823"/>
      <c r="AK138" s="823"/>
      <c r="AL138" s="823"/>
      <c r="AM138" s="823"/>
      <c r="AN138" s="823"/>
      <c r="AO138" s="823"/>
      <c r="AP138" s="823"/>
    </row>
    <row r="139" spans="1:42">
      <c r="A139" s="823"/>
      <c r="B139" s="1135"/>
      <c r="C139" s="1135"/>
      <c r="D139" s="823" t="s">
        <v>894</v>
      </c>
      <c r="E139" s="823"/>
      <c r="F139" s="823"/>
      <c r="G139" s="823"/>
      <c r="H139" s="823"/>
      <c r="I139" s="823"/>
      <c r="J139" s="823"/>
      <c r="K139" s="823"/>
      <c r="L139" s="823"/>
      <c r="M139" s="823"/>
      <c r="N139" s="823"/>
      <c r="O139" s="823"/>
      <c r="P139" s="823"/>
      <c r="Q139" s="823"/>
      <c r="R139" s="823"/>
      <c r="S139" s="823"/>
      <c r="T139" s="766">
        <v>1000</v>
      </c>
      <c r="U139" s="766">
        <v>1000</v>
      </c>
      <c r="V139" s="766">
        <v>1000</v>
      </c>
      <c r="W139" s="766">
        <v>1000</v>
      </c>
      <c r="X139" s="766">
        <v>1000</v>
      </c>
      <c r="Y139" s="766">
        <v>1000</v>
      </c>
      <c r="Z139" s="766">
        <v>900</v>
      </c>
      <c r="AA139" s="766">
        <v>700</v>
      </c>
      <c r="AB139" s="766">
        <v>700</v>
      </c>
      <c r="AC139" s="766">
        <v>300</v>
      </c>
      <c r="AD139" s="823"/>
      <c r="AE139" s="823"/>
      <c r="AF139" s="823"/>
      <c r="AG139" s="823"/>
      <c r="AH139" s="823"/>
      <c r="AI139" s="823"/>
      <c r="AJ139" s="823"/>
      <c r="AK139" s="823"/>
      <c r="AL139" s="823"/>
      <c r="AM139" s="823"/>
      <c r="AN139" s="823"/>
      <c r="AO139" s="823"/>
      <c r="AP139" s="823"/>
    </row>
    <row r="140" spans="1:42">
      <c r="A140" s="823"/>
      <c r="B140" s="1135"/>
      <c r="C140" s="1135"/>
      <c r="D140" s="823" t="s">
        <v>895</v>
      </c>
      <c r="E140" s="823"/>
      <c r="F140" s="823"/>
      <c r="G140" s="823"/>
      <c r="H140" s="823"/>
      <c r="I140" s="823"/>
      <c r="J140" s="823"/>
      <c r="K140" s="823"/>
      <c r="L140" s="823"/>
      <c r="M140" s="823"/>
      <c r="N140" s="823"/>
      <c r="O140" s="823"/>
      <c r="P140" s="823"/>
      <c r="Q140" s="823"/>
      <c r="R140" s="823"/>
      <c r="S140" s="823"/>
      <c r="T140" s="766">
        <v>0</v>
      </c>
      <c r="U140" s="766">
        <v>0</v>
      </c>
      <c r="V140" s="766">
        <v>0</v>
      </c>
      <c r="W140" s="766">
        <v>0</v>
      </c>
      <c r="X140" s="766">
        <v>0</v>
      </c>
      <c r="Y140" s="766">
        <v>0</v>
      </c>
      <c r="Z140" s="766">
        <v>0</v>
      </c>
      <c r="AA140" s="766">
        <v>0</v>
      </c>
      <c r="AB140" s="766">
        <v>0</v>
      </c>
      <c r="AC140" s="766">
        <v>0</v>
      </c>
      <c r="AD140" s="823"/>
      <c r="AE140" s="823"/>
      <c r="AF140" s="823"/>
      <c r="AG140" s="823"/>
      <c r="AH140" s="823"/>
      <c r="AI140" s="823"/>
      <c r="AJ140" s="823"/>
      <c r="AK140" s="823"/>
      <c r="AL140" s="823"/>
      <c r="AM140" s="823"/>
      <c r="AN140" s="823"/>
      <c r="AO140" s="823"/>
      <c r="AP140" s="823"/>
    </row>
    <row r="141" spans="1:42">
      <c r="A141" s="823"/>
      <c r="B141" s="1135"/>
      <c r="C141" s="1135"/>
      <c r="D141" s="1130" t="s">
        <v>613</v>
      </c>
      <c r="E141" s="1130"/>
      <c r="F141" s="1130"/>
      <c r="G141" s="1130"/>
      <c r="H141" s="1130"/>
      <c r="I141" s="1130"/>
      <c r="J141" s="1130"/>
      <c r="K141" s="1130"/>
      <c r="L141" s="1130"/>
      <c r="M141" s="1130"/>
      <c r="N141" s="1130"/>
      <c r="O141" s="1130"/>
      <c r="P141" s="1130"/>
      <c r="Q141" s="1130"/>
      <c r="R141" s="1130"/>
      <c r="S141" s="1130"/>
      <c r="T141" s="770">
        <v>6665.8163318594252</v>
      </c>
      <c r="U141" s="770">
        <v>7268.3492342257869</v>
      </c>
      <c r="V141" s="770">
        <v>7672.2722819791961</v>
      </c>
      <c r="W141" s="770">
        <v>7103.4548375891245</v>
      </c>
      <c r="X141" s="770">
        <v>7116.0408988509871</v>
      </c>
      <c r="Y141" s="770">
        <v>6731.6808151083587</v>
      </c>
      <c r="Z141" s="770">
        <v>6750.3313474791921</v>
      </c>
      <c r="AA141" s="770">
        <v>5922.7033958211505</v>
      </c>
      <c r="AB141" s="770">
        <v>4881.8764616998169</v>
      </c>
      <c r="AC141" s="770">
        <v>4391.006066235801</v>
      </c>
      <c r="AD141" s="823"/>
      <c r="AE141" s="823"/>
      <c r="AF141" s="823"/>
      <c r="AG141" s="823"/>
      <c r="AH141" s="823"/>
      <c r="AI141" s="823"/>
      <c r="AJ141" s="823"/>
      <c r="AK141" s="823"/>
      <c r="AL141" s="823"/>
      <c r="AM141" s="823"/>
      <c r="AN141" s="823"/>
      <c r="AO141" s="823"/>
      <c r="AP141" s="823"/>
    </row>
    <row r="142" spans="1:42">
      <c r="A142" s="823"/>
      <c r="B142" s="1135"/>
      <c r="C142" s="1135"/>
      <c r="D142" s="1130"/>
      <c r="E142" s="823"/>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823"/>
      <c r="AC142" s="823"/>
      <c r="AD142" s="823"/>
      <c r="AE142" s="823"/>
      <c r="AF142" s="823"/>
      <c r="AG142" s="823"/>
      <c r="AH142" s="823"/>
      <c r="AI142" s="823"/>
      <c r="AJ142" s="823"/>
      <c r="AK142" s="823"/>
      <c r="AL142" s="823"/>
      <c r="AM142" s="823"/>
      <c r="AN142" s="823"/>
      <c r="AO142" s="823"/>
      <c r="AP142" s="823"/>
    </row>
    <row r="143" spans="1:42" ht="15" customHeight="1">
      <c r="A143" s="1159"/>
      <c r="B143" s="1160" t="s">
        <v>791</v>
      </c>
      <c r="C143" s="1160"/>
      <c r="D143" s="1161"/>
      <c r="E143" s="1161"/>
      <c r="F143" s="1161"/>
      <c r="G143" s="1161"/>
      <c r="H143" s="1161"/>
      <c r="I143" s="1161"/>
      <c r="J143" s="1161"/>
      <c r="K143" s="1161"/>
      <c r="L143" s="1161"/>
      <c r="M143" s="1161"/>
      <c r="N143" s="1161"/>
      <c r="O143" s="1161"/>
      <c r="P143" s="1161"/>
      <c r="Q143" s="1161"/>
      <c r="R143" s="1161"/>
      <c r="S143" s="1161"/>
      <c r="T143" s="1161"/>
      <c r="U143" s="1161"/>
      <c r="V143" s="1161"/>
      <c r="W143" s="1161"/>
      <c r="X143" s="1161"/>
      <c r="Y143" s="1161"/>
      <c r="Z143" s="1161"/>
      <c r="AA143" s="1161"/>
      <c r="AB143" s="1161"/>
      <c r="AC143" s="1161"/>
      <c r="AD143" s="1162"/>
      <c r="AE143" s="1162"/>
      <c r="AF143" s="1162"/>
      <c r="AG143" s="1162"/>
      <c r="AH143" s="1162"/>
      <c r="AI143" s="1162"/>
      <c r="AJ143" s="1162"/>
      <c r="AK143" s="1162"/>
      <c r="AL143" s="1162"/>
      <c r="AM143" s="121"/>
      <c r="AN143" s="121"/>
      <c r="AO143" s="121"/>
      <c r="AP143" s="121"/>
    </row>
    <row r="144" spans="1:42">
      <c r="A144" s="823"/>
      <c r="B144" s="1135"/>
      <c r="C144" s="1135"/>
      <c r="D144" s="823"/>
      <c r="E144" s="823"/>
      <c r="F144" s="823"/>
      <c r="G144" s="823"/>
      <c r="H144" s="823"/>
      <c r="I144" s="823"/>
      <c r="J144" s="823"/>
      <c r="K144" s="823"/>
      <c r="L144" s="823"/>
      <c r="M144" s="823"/>
      <c r="N144" s="823"/>
      <c r="O144" s="823"/>
      <c r="P144" s="823"/>
      <c r="Q144" s="823"/>
      <c r="R144" s="823"/>
      <c r="S144" s="823"/>
      <c r="T144" s="823"/>
      <c r="U144" s="823"/>
      <c r="V144" s="823"/>
      <c r="W144" s="823"/>
      <c r="X144" s="823"/>
      <c r="Y144" s="823"/>
      <c r="Z144" s="823"/>
      <c r="AA144" s="823"/>
      <c r="AB144" s="823"/>
      <c r="AC144" s="823"/>
      <c r="AD144" s="823"/>
      <c r="AE144" s="823"/>
      <c r="AF144" s="823"/>
      <c r="AG144" s="823"/>
      <c r="AH144" s="823"/>
      <c r="AI144" s="823"/>
      <c r="AJ144" s="823"/>
      <c r="AK144" s="823"/>
      <c r="AL144" s="823"/>
      <c r="AM144" s="823"/>
      <c r="AN144" s="823"/>
      <c r="AO144" s="823"/>
      <c r="AP144" s="823"/>
    </row>
    <row r="145" spans="1:42">
      <c r="A145" s="823"/>
      <c r="B145" s="1135"/>
      <c r="C145" s="1135"/>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row>
    <row r="146" spans="1:42"/>
  </sheetData>
  <sheetProtection insertRows="0" delete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8" stopIfTrue="1" operator="greaterThanOrEqual">
      <formula>0</formula>
    </cfRule>
  </conditionalFormatting>
  <conditionalFormatting sqref="T41:AC41">
    <cfRule type="expression" dxfId="47"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46"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activeCell="A4" sqref="A4"/>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896</v>
      </c>
      <c r="B1" s="326"/>
      <c r="C1" s="326"/>
      <c r="D1" s="326"/>
      <c r="E1" s="835"/>
      <c r="F1" s="327"/>
      <c r="G1" s="327"/>
      <c r="H1" s="327"/>
      <c r="I1" s="327"/>
      <c r="J1" s="327"/>
      <c r="K1" s="456"/>
    </row>
    <row r="2" spans="1:19" ht="20">
      <c r="A2" s="329" t="str">
        <f>Licensee</f>
        <v>Cadent-WM</v>
      </c>
      <c r="B2" s="331"/>
      <c r="C2" s="331"/>
      <c r="D2" s="331"/>
      <c r="E2" s="836"/>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0"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7" t="s">
        <v>897</v>
      </c>
      <c r="C9" s="837"/>
      <c r="D9" s="837"/>
      <c r="L9" s="467"/>
      <c r="M9" s="389"/>
    </row>
    <row r="10" spans="1:19" s="339" customFormat="1">
      <c r="L10" s="467"/>
    </row>
    <row r="11" spans="1:19" s="339" customFormat="1">
      <c r="B11" s="838"/>
      <c r="C11" s="838"/>
      <c r="D11" s="838"/>
      <c r="E11" s="838"/>
      <c r="F11" s="838"/>
      <c r="G11" s="838"/>
      <c r="H11" s="838"/>
      <c r="I11" s="838"/>
      <c r="J11" s="838"/>
      <c r="K11" s="838"/>
      <c r="L11" s="467"/>
      <c r="M11" s="389"/>
    </row>
    <row r="12" spans="1:19" s="339" customFormat="1">
      <c r="B12" s="114" t="s">
        <v>898</v>
      </c>
      <c r="C12" s="114"/>
      <c r="D12" s="114"/>
      <c r="E12" s="839" t="str">
        <f>Data!$C$9</f>
        <v>£m 18/19</v>
      </c>
      <c r="F12" s="840">
        <v>1765.3641760678697</v>
      </c>
      <c r="G12" s="840">
        <v>1774.3759933639212</v>
      </c>
      <c r="H12" s="840">
        <v>1784.2466227550226</v>
      </c>
      <c r="I12" s="840">
        <v>1794.9801421939053</v>
      </c>
      <c r="J12" s="840">
        <v>1804.0100127496019</v>
      </c>
      <c r="L12" s="339" t="s">
        <v>899</v>
      </c>
      <c r="M12" s="389"/>
    </row>
    <row r="13" spans="1:19" s="339" customFormat="1">
      <c r="M13" s="389"/>
    </row>
    <row r="14" spans="1:19" s="339" customFormat="1">
      <c r="B14" s="838"/>
      <c r="C14" s="838"/>
      <c r="D14" s="838"/>
      <c r="E14" s="467"/>
      <c r="F14" s="467"/>
      <c r="G14" s="467"/>
      <c r="H14" s="467"/>
      <c r="I14" s="467"/>
      <c r="J14" s="467"/>
      <c r="M14" s="389"/>
    </row>
    <row r="15" spans="1:19" s="339" customFormat="1" ht="14">
      <c r="B15" s="339" t="s">
        <v>900</v>
      </c>
      <c r="E15" s="839" t="str">
        <f>Data!$C$9</f>
        <v>£m 18/19</v>
      </c>
      <c r="F15" s="840">
        <v>1745.9399970510062</v>
      </c>
      <c r="G15" s="859">
        <f>F24</f>
        <v>1765.3641760678697</v>
      </c>
      <c r="H15" s="859">
        <f>G24</f>
        <v>1774.3759933639212</v>
      </c>
      <c r="I15" s="859">
        <f>H24</f>
        <v>1784.2466227550226</v>
      </c>
      <c r="J15" s="859">
        <f>I24</f>
        <v>1794.9801421939053</v>
      </c>
      <c r="L15" s="339" t="s">
        <v>901</v>
      </c>
      <c r="M15" s="389"/>
    </row>
    <row r="16" spans="1:19" s="339" customFormat="1">
      <c r="B16" s="339" t="s">
        <v>902</v>
      </c>
      <c r="E16" s="839" t="str">
        <f>Data!$C$9</f>
        <v>£m 18/19</v>
      </c>
      <c r="F16" s="841">
        <v>0</v>
      </c>
      <c r="G16" s="841">
        <v>0</v>
      </c>
      <c r="H16" s="841">
        <v>0</v>
      </c>
      <c r="I16" s="841">
        <v>0</v>
      </c>
      <c r="J16" s="841">
        <v>0</v>
      </c>
      <c r="L16" s="339" t="s">
        <v>903</v>
      </c>
      <c r="M16" s="389"/>
    </row>
    <row r="17" spans="1:19" s="339" customFormat="1">
      <c r="B17" s="482" t="s">
        <v>904</v>
      </c>
      <c r="C17" s="482"/>
      <c r="D17" s="482"/>
      <c r="E17" s="839" t="str">
        <f>Data!$C$9</f>
        <v>£m 18/19</v>
      </c>
      <c r="F17" s="860">
        <f>SUM(F15:F16)</f>
        <v>1745.9399970510062</v>
      </c>
      <c r="G17" s="861">
        <f t="shared" ref="G17:J17" si="1">SUM(G15:G16)</f>
        <v>1765.3641760678697</v>
      </c>
      <c r="H17" s="861">
        <f t="shared" si="1"/>
        <v>1774.3759933639212</v>
      </c>
      <c r="I17" s="861">
        <f t="shared" si="1"/>
        <v>1784.2466227550226</v>
      </c>
      <c r="J17" s="861">
        <f t="shared" si="1"/>
        <v>1794.9801421939053</v>
      </c>
      <c r="L17" s="467"/>
      <c r="M17" s="389"/>
    </row>
    <row r="18" spans="1:19" s="339" customFormat="1">
      <c r="B18" s="842" t="s">
        <v>905</v>
      </c>
      <c r="C18" s="842"/>
      <c r="D18" s="842"/>
      <c r="E18" s="839" t="str">
        <f>Data!$C$9</f>
        <v>£m 18/19</v>
      </c>
      <c r="F18" s="843">
        <v>110.73015598976538</v>
      </c>
      <c r="G18" s="843">
        <v>102.66274132462816</v>
      </c>
      <c r="H18" s="843">
        <v>105.40875765803771</v>
      </c>
      <c r="I18" s="843">
        <v>108.17905290425513</v>
      </c>
      <c r="J18" s="843">
        <v>108.40141262860806</v>
      </c>
      <c r="L18" s="339" t="s">
        <v>906</v>
      </c>
      <c r="M18" s="389"/>
    </row>
    <row r="19" spans="1:19" s="339" customFormat="1">
      <c r="B19" s="842" t="s">
        <v>907</v>
      </c>
      <c r="C19" s="842"/>
      <c r="D19" s="842"/>
      <c r="E19" s="839" t="str">
        <f>Data!$C$9</f>
        <v>£m 18/19</v>
      </c>
      <c r="F19" s="844">
        <v>0</v>
      </c>
      <c r="G19" s="845">
        <v>0</v>
      </c>
      <c r="H19" s="845">
        <v>0</v>
      </c>
      <c r="I19" s="845">
        <v>0</v>
      </c>
      <c r="J19" s="845">
        <v>0</v>
      </c>
      <c r="L19" s="467"/>
      <c r="M19" s="389"/>
    </row>
    <row r="20" spans="1:19" s="339" customFormat="1">
      <c r="B20" s="846" t="s">
        <v>908</v>
      </c>
      <c r="C20" s="846"/>
      <c r="D20" s="846"/>
      <c r="E20" s="839" t="str">
        <f>Data!$C$9</f>
        <v>£m 18/19</v>
      </c>
      <c r="F20" s="862">
        <f>SUM(F18:F19)</f>
        <v>110.73015598976538</v>
      </c>
      <c r="G20" s="862">
        <f t="shared" ref="G20:J20" si="2">SUM(G18:G19)</f>
        <v>102.66274132462816</v>
      </c>
      <c r="H20" s="862">
        <f t="shared" si="2"/>
        <v>105.40875765803771</v>
      </c>
      <c r="I20" s="862">
        <f t="shared" si="2"/>
        <v>108.17905290425513</v>
      </c>
      <c r="J20" s="862">
        <f t="shared" si="2"/>
        <v>108.40141262860806</v>
      </c>
      <c r="L20" s="467"/>
      <c r="M20" s="389"/>
    </row>
    <row r="21" spans="1:19" s="339" customFormat="1">
      <c r="B21" s="842" t="s">
        <v>909</v>
      </c>
      <c r="C21" s="842"/>
      <c r="D21" s="842"/>
      <c r="E21" s="839" t="str">
        <f>Data!$C$9</f>
        <v>£m 18/19</v>
      </c>
      <c r="F21" s="847">
        <v>-91.305976972901718</v>
      </c>
      <c r="G21" s="847">
        <v>-93.650924028576512</v>
      </c>
      <c r="H21" s="847">
        <v>-95.538128266936383</v>
      </c>
      <c r="I21" s="847">
        <v>-97.445533465372407</v>
      </c>
      <c r="J21" s="847">
        <v>-99.371542072911538</v>
      </c>
      <c r="L21" s="339" t="s">
        <v>910</v>
      </c>
      <c r="M21" s="389"/>
    </row>
    <row r="22" spans="1:19" s="339" customFormat="1">
      <c r="B22" s="842" t="s">
        <v>911</v>
      </c>
      <c r="C22" s="842"/>
      <c r="D22" s="842"/>
      <c r="E22" s="839" t="str">
        <f>Data!$C$9</f>
        <v>£m 18/19</v>
      </c>
      <c r="F22" s="849">
        <v>0</v>
      </c>
      <c r="G22" s="850">
        <v>0</v>
      </c>
      <c r="H22" s="850">
        <v>0</v>
      </c>
      <c r="I22" s="850">
        <v>0</v>
      </c>
      <c r="J22" s="850">
        <v>0</v>
      </c>
      <c r="L22" s="467"/>
      <c r="M22" s="389"/>
    </row>
    <row r="23" spans="1:19" s="339" customFormat="1">
      <c r="B23" s="396" t="s">
        <v>912</v>
      </c>
      <c r="C23" s="396"/>
      <c r="D23" s="396"/>
      <c r="E23" s="839" t="str">
        <f>Data!$C$9</f>
        <v>£m 18/19</v>
      </c>
      <c r="F23" s="863">
        <f>SUM(F21:F22)</f>
        <v>-91.305976972901718</v>
      </c>
      <c r="G23" s="863">
        <f t="shared" ref="G23:J23" si="3">SUM(G21:G22)</f>
        <v>-93.650924028576512</v>
      </c>
      <c r="H23" s="863">
        <f t="shared" si="3"/>
        <v>-95.538128266936383</v>
      </c>
      <c r="I23" s="863">
        <f t="shared" si="3"/>
        <v>-97.445533465372407</v>
      </c>
      <c r="J23" s="863">
        <f t="shared" si="3"/>
        <v>-99.371542072911538</v>
      </c>
      <c r="L23" s="1240"/>
      <c r="M23" s="1240"/>
      <c r="N23" s="1240"/>
      <c r="O23" s="1240"/>
    </row>
    <row r="24" spans="1:19" s="339" customFormat="1">
      <c r="B24" s="482" t="s">
        <v>913</v>
      </c>
      <c r="C24" s="482"/>
      <c r="D24" s="482"/>
      <c r="E24" s="839" t="str">
        <f>Data!$C$9</f>
        <v>£m 18/19</v>
      </c>
      <c r="F24" s="864">
        <f>F17+F20+F23</f>
        <v>1765.3641760678697</v>
      </c>
      <c r="G24" s="864">
        <f t="shared" ref="G24:J24" si="4">G17+G20+G23</f>
        <v>1774.3759933639212</v>
      </c>
      <c r="H24" s="864">
        <f t="shared" si="4"/>
        <v>1784.2466227550226</v>
      </c>
      <c r="I24" s="864">
        <f t="shared" si="4"/>
        <v>1794.9801421939053</v>
      </c>
      <c r="J24" s="864">
        <f t="shared" si="4"/>
        <v>1804.0100127496019</v>
      </c>
      <c r="L24" s="467"/>
      <c r="M24" s="389"/>
    </row>
    <row r="25" spans="1:19" s="339" customFormat="1">
      <c r="B25" s="482"/>
      <c r="C25" s="482"/>
      <c r="D25" s="482"/>
      <c r="E25" s="839"/>
      <c r="F25" s="839"/>
      <c r="G25" s="839"/>
      <c r="H25" s="839"/>
      <c r="I25" s="839"/>
      <c r="J25" s="839"/>
      <c r="K25" s="839"/>
      <c r="L25" s="467"/>
      <c r="M25" s="839"/>
      <c r="N25" s="839"/>
    </row>
    <row r="26" spans="1:19" s="339" customFormat="1">
      <c r="B26" s="482" t="s">
        <v>914</v>
      </c>
      <c r="C26" s="839"/>
      <c r="D26" s="839"/>
      <c r="E26" s="839" t="str">
        <f>Data!$C$9</f>
        <v>£m 18/19</v>
      </c>
      <c r="F26" s="864">
        <f>F19+F22</f>
        <v>0</v>
      </c>
      <c r="G26" s="865">
        <f>G19+G22</f>
        <v>0</v>
      </c>
      <c r="H26" s="865">
        <f t="shared" ref="H26:J26" si="5">H19+H22</f>
        <v>0</v>
      </c>
      <c r="I26" s="865">
        <f t="shared" si="5"/>
        <v>0</v>
      </c>
      <c r="J26" s="866">
        <f t="shared" si="5"/>
        <v>0</v>
      </c>
      <c r="K26" s="839"/>
      <c r="L26" s="467"/>
      <c r="M26" s="839"/>
      <c r="N26" s="839"/>
    </row>
    <row r="27" spans="1:19" s="339" customFormat="1">
      <c r="B27" s="482" t="s">
        <v>915</v>
      </c>
      <c r="C27" s="839"/>
      <c r="D27" s="839"/>
      <c r="E27" s="852"/>
      <c r="F27" s="867" t="str">
        <f>IF(F5="Actuals",IF(ABS((F24-SUM($F26:F$26))-F12)&lt;0.1,"TRUE","FALSE"),"NA")</f>
        <v>TRUE</v>
      </c>
      <c r="G27" s="868" t="str">
        <f>IF(G5="Actuals",IF(ABS((G24-SUM($F26:G$26))-G12)&lt;0.1,"TRUE","FALSE"),"NA")</f>
        <v>TRUE</v>
      </c>
      <c r="H27" s="868" t="str">
        <f>IF(H5="Actuals",IF(ABS((H24-SUM($F26:H$26))-H12)&lt;0.1,"TRUE","FALSE"),"NA")</f>
        <v>TRUE</v>
      </c>
      <c r="I27" s="868" t="str">
        <f>IF(I5="Actuals",IF(ABS((I24-SUM($F26:I$26))-I12)&lt;0.1,"TRUE","FALSE"),"NA")</f>
        <v>NA</v>
      </c>
      <c r="J27" s="869" t="str">
        <f>IF(J5="Actuals",IF(ABS((J24-SUM($F26:J$26))-J12)&lt;0.1,"TRUE","FALSE"),"NA")</f>
        <v>NA</v>
      </c>
      <c r="K27" s="839"/>
      <c r="L27" s="467"/>
      <c r="N27" s="839"/>
    </row>
    <row r="28" spans="1:19" s="339" customFormat="1">
      <c r="B28" s="482"/>
      <c r="C28" s="482"/>
      <c r="D28" s="482"/>
      <c r="E28" s="839"/>
      <c r="F28" s="839"/>
      <c r="G28" s="839"/>
      <c r="H28" s="839"/>
      <c r="I28" s="839"/>
      <c r="J28" s="839"/>
      <c r="K28" s="839"/>
      <c r="L28" s="467"/>
      <c r="M28" s="839"/>
      <c r="N28" s="839"/>
    </row>
    <row r="29" spans="1:19" s="339" customFormat="1">
      <c r="B29" s="482"/>
      <c r="C29" s="482"/>
      <c r="D29" s="482"/>
      <c r="E29" s="839"/>
      <c r="F29" s="851"/>
      <c r="G29" s="839"/>
      <c r="H29" s="851"/>
      <c r="I29" s="851"/>
      <c r="J29" s="851"/>
      <c r="K29" s="839"/>
      <c r="L29" s="467"/>
      <c r="M29" s="839"/>
      <c r="N29" s="839"/>
    </row>
    <row r="30" spans="1:19" s="339" customFormat="1">
      <c r="A30" s="114"/>
      <c r="B30" s="339" t="s">
        <v>916</v>
      </c>
      <c r="E30" s="136" t="s">
        <v>917</v>
      </c>
      <c r="F30" s="1219">
        <f>IF(Sector="ED2",(INDEX(Data!C29:N29,MATCH(RIIO_2_start_date-1,Data!C27:N27,0))/Data!$E$28),INDEX(Data!C20:N20,MATCH(RIIO_2_start_date-1,Data!C18:N18,0))/Data!$C$19)</f>
        <v>1.0533528227824487</v>
      </c>
      <c r="G30" s="839"/>
      <c r="H30" s="851"/>
      <c r="I30" s="851"/>
      <c r="J30" s="853"/>
      <c r="K30" s="854"/>
      <c r="L30" s="467"/>
      <c r="M30" s="1247"/>
      <c r="N30" s="1247"/>
    </row>
    <row r="31" spans="1:19" s="339" customFormat="1">
      <c r="B31" s="482"/>
      <c r="C31" s="482"/>
      <c r="D31" s="482"/>
      <c r="E31" s="839"/>
      <c r="F31" s="855"/>
      <c r="G31" s="855"/>
      <c r="H31" s="855"/>
      <c r="I31" s="855"/>
      <c r="J31" s="855"/>
      <c r="K31" s="839"/>
      <c r="L31" s="467"/>
    </row>
    <row r="32" spans="1:19" s="339" customFormat="1">
      <c r="B32" s="482" t="s">
        <v>913</v>
      </c>
      <c r="C32" s="482"/>
      <c r="D32" s="482"/>
      <c r="E32" s="29" t="s">
        <v>522</v>
      </c>
      <c r="F32" s="870">
        <f>IF(Sector="ED2",F24*Data!H36,F24*Combined_real_to_nominal_prices_conversion_factor__financial_year_end)</f>
        <v>1993.4792029283253</v>
      </c>
      <c r="G32" s="870">
        <f>IF(Sector="ED2",G24*Data!I36,G24*Combined_real_to_nominal_prices_conversion_factor__financial_year_end)</f>
        <v>2170.4140894241182</v>
      </c>
      <c r="H32" s="870">
        <f>IF(Sector="ED2",H24*Data!J36,H24*Combined_real_to_nominal_prices_conversion_factor__financial_year_end)</f>
        <v>2253.8213476694937</v>
      </c>
      <c r="I32" s="870">
        <f>IF(Sector="ED2",I24*Data!K36,I24*Combined_real_to_nominal_prices_conversion_factor__financial_year_end)</f>
        <v>2304.1993338816515</v>
      </c>
      <c r="J32" s="870">
        <f>IF(Sector="ED2",J24*Data!L36,J24*Combined_real_to_nominal_prices_conversion_factor__financial_year_end)</f>
        <v>2351.1483857632443</v>
      </c>
      <c r="K32" s="1265"/>
      <c r="Q32" s="1240"/>
      <c r="R32" s="1240"/>
      <c r="S32" s="1240"/>
    </row>
    <row r="33" spans="1:14" s="339" customFormat="1">
      <c r="B33" s="482"/>
      <c r="C33" s="482"/>
      <c r="D33" s="482"/>
      <c r="E33" s="839"/>
      <c r="F33" s="839"/>
      <c r="G33" s="839"/>
      <c r="H33" s="839"/>
      <c r="I33" s="839"/>
      <c r="J33" s="839"/>
      <c r="K33" s="839"/>
      <c r="L33" s="467"/>
      <c r="M33" s="839"/>
      <c r="N33" s="839"/>
    </row>
    <row r="34" spans="1:14" s="339" customFormat="1">
      <c r="B34" s="389" t="s">
        <v>918</v>
      </c>
      <c r="C34" s="389"/>
      <c r="D34" s="389"/>
      <c r="E34" s="839" t="s">
        <v>919</v>
      </c>
      <c r="F34" s="871">
        <f>INDEX(Data!$H$63:$P$91,MATCH('RFPR cover'!$C$7,Data!$B$63:$B$91,0),MATCH('R7 - RAV'!F$6,Data!$H$62:$P$62,0))</f>
        <v>2.0500000000000001E-2</v>
      </c>
      <c r="G34" s="871">
        <f>INDEX(Data!$H$63:$P$91,MATCH('RFPR cover'!$C$7,Data!$B$63:$B$91,0),MATCH('R7 - RAV'!G$6,Data!$H$62:$P$62,0))</f>
        <v>1.9E-2</v>
      </c>
      <c r="H34" s="871">
        <f>INDEX(Data!$H$63:$P$91,MATCH('RFPR cover'!$C$7,Data!$B$63:$B$91,0),MATCH('R7 - RAV'!H$6,Data!$H$62:$P$62,0))</f>
        <v>1.9199999999999998E-2</v>
      </c>
      <c r="I34" s="871">
        <f>INDEX(Data!$H$63:$P$91,MATCH('RFPR cover'!$C$7,Data!$B$63:$B$91,0),MATCH('R7 - RAV'!I$6,Data!$H$62:$P$62,0))</f>
        <v>2.1100000000000001E-2</v>
      </c>
      <c r="J34" s="871">
        <f>INDEX(Data!$H$63:$P$91,MATCH('RFPR cover'!$C$7,Data!$B$63:$B$91,0),MATCH('R7 - RAV'!J$6,Data!$H$62:$P$62,0))</f>
        <v>2.29E-2</v>
      </c>
      <c r="K34" s="839"/>
      <c r="L34" s="467"/>
      <c r="M34" s="839"/>
      <c r="N34" s="839"/>
    </row>
    <row r="35" spans="1:14" s="339" customFormat="1">
      <c r="B35" s="389" t="s">
        <v>920</v>
      </c>
      <c r="C35" s="389"/>
      <c r="D35" s="389"/>
      <c r="E35" s="839" t="s">
        <v>919</v>
      </c>
      <c r="F35" s="872">
        <f>INDEX(Data!$O$63:$U$91,MATCH('RFPR cover'!$C$7,Data!$B$63:$B$91,0),MATCH('R7 - RAV'!F$6,Data!$O$62:$U$62,0))</f>
        <v>4.5181881000000007E-2</v>
      </c>
      <c r="G35" s="872">
        <f>INDEX(Data!$O$63:$U$91,MATCH('RFPR cover'!$C$7,Data!$B$63:$B$91,0),MATCH('R7 - RAV'!G$6,Data!$O$62:$U$62,0))</f>
        <v>4.5568104999999998E-2</v>
      </c>
      <c r="H35" s="872">
        <f>INDEX(Data!$O$63:$U$91,MATCH('RFPR cover'!$C$7,Data!$B$63:$B$91,0),MATCH('R7 - RAV'!H$6,Data!$O$62:$U$62,0))</f>
        <v>5.2833943999999994E-2</v>
      </c>
      <c r="I35" s="872">
        <f>INDEX(Data!$O$63:$U$91,MATCH('RFPR cover'!$C$7,Data!$B$63:$B$91,0),MATCH('R7 - RAV'!I$6,Data!$O$62:$U$62,0))</f>
        <v>5.5875458000000003E-2</v>
      </c>
      <c r="J35" s="872">
        <f>INDEX(Data!$O$63:$U$91,MATCH('RFPR cover'!$C$7,Data!$B$63:$B$91,0),MATCH('R7 - RAV'!J$6,Data!$O$62:$U$62,0))</f>
        <v>5.5175426999999992E-2</v>
      </c>
      <c r="K35" s="839"/>
      <c r="L35" s="467"/>
      <c r="M35" s="839"/>
      <c r="N35" s="839"/>
    </row>
    <row r="36" spans="1:14">
      <c r="A36" s="339"/>
      <c r="B36" s="389" t="s">
        <v>921</v>
      </c>
      <c r="C36" s="389"/>
      <c r="D36" s="389"/>
      <c r="E36" s="839" t="s">
        <v>486</v>
      </c>
      <c r="F36" s="873">
        <f t="shared" ref="F36:J36" si="6">Notional_Gearing</f>
        <v>0.6</v>
      </c>
      <c r="G36" s="873">
        <f t="shared" si="6"/>
        <v>0.6</v>
      </c>
      <c r="H36" s="873">
        <f t="shared" si="6"/>
        <v>0.6</v>
      </c>
      <c r="I36" s="873">
        <f t="shared" si="6"/>
        <v>0.6</v>
      </c>
      <c r="J36" s="873">
        <f t="shared" si="6"/>
        <v>0.6</v>
      </c>
      <c r="K36" s="839"/>
      <c r="L36" s="467"/>
      <c r="M36" s="839"/>
      <c r="N36" s="839"/>
    </row>
    <row r="37" spans="1:14">
      <c r="B37" s="114" t="s">
        <v>922</v>
      </c>
      <c r="E37" s="839" t="s">
        <v>919</v>
      </c>
      <c r="F37" s="874">
        <f t="shared" ref="F37:J37" si="7">F34*F36+F35*(1-F36)</f>
        <v>3.0372752400000001E-2</v>
      </c>
      <c r="G37" s="875">
        <f t="shared" si="7"/>
        <v>2.9627241999999998E-2</v>
      </c>
      <c r="H37" s="875">
        <f t="shared" si="7"/>
        <v>3.2653577599999997E-2</v>
      </c>
      <c r="I37" s="875">
        <f t="shared" si="7"/>
        <v>3.5010183200000003E-2</v>
      </c>
      <c r="J37" s="875">
        <f t="shared" si="7"/>
        <v>3.5810170799999999E-2</v>
      </c>
      <c r="K37" s="839"/>
      <c r="L37" s="467"/>
      <c r="M37" s="839"/>
      <c r="N37" s="839"/>
    </row>
    <row r="38" spans="1:14" s="339" customFormat="1">
      <c r="A38" s="114"/>
      <c r="B38" s="114"/>
      <c r="C38" s="114"/>
      <c r="D38" s="114"/>
      <c r="E38" s="856"/>
      <c r="F38" s="857"/>
      <c r="G38" s="857"/>
      <c r="H38" s="857"/>
      <c r="I38" s="857"/>
      <c r="J38" s="857"/>
      <c r="K38" s="839"/>
      <c r="L38" s="467"/>
      <c r="M38" s="839"/>
      <c r="N38" s="839"/>
    </row>
    <row r="39" spans="1:14" s="339" customFormat="1">
      <c r="A39" s="114"/>
      <c r="B39" s="88" t="s">
        <v>923</v>
      </c>
      <c r="C39" s="88"/>
      <c r="D39" s="88"/>
      <c r="E39" s="839" t="str">
        <f>Data!$C$9</f>
        <v>£m 18/19</v>
      </c>
      <c r="F39" s="18">
        <f>F41*F36</f>
        <v>1037.779726235673</v>
      </c>
      <c r="G39" s="19">
        <f t="shared" ref="G39:J39" si="8">G41*G36</f>
        <v>1046.6048958019753</v>
      </c>
      <c r="H39" s="19">
        <f t="shared" si="8"/>
        <v>1050.660865974565</v>
      </c>
      <c r="I39" s="19">
        <f t="shared" si="8"/>
        <v>1055.5529670712024</v>
      </c>
      <c r="J39" s="19">
        <f t="shared" si="8"/>
        <v>1060.9865022628949</v>
      </c>
      <c r="K39" s="839"/>
      <c r="L39" s="467"/>
      <c r="M39" s="839"/>
      <c r="N39" s="839"/>
    </row>
    <row r="40" spans="1:14" s="339" customFormat="1">
      <c r="A40" s="114"/>
      <c r="B40" s="88" t="s">
        <v>924</v>
      </c>
      <c r="C40" s="88"/>
      <c r="D40" s="88"/>
      <c r="E40" s="839" t="str">
        <f>Data!$C$9</f>
        <v>£m 18/19</v>
      </c>
      <c r="F40" s="73">
        <f>F41*(1-F36)</f>
        <v>691.85315082378202</v>
      </c>
      <c r="G40" s="74">
        <f t="shared" ref="G40:J40" si="9">G41*(1-G36)</f>
        <v>697.73659720131695</v>
      </c>
      <c r="H40" s="74">
        <f t="shared" si="9"/>
        <v>700.44057731637679</v>
      </c>
      <c r="I40" s="74">
        <f t="shared" si="9"/>
        <v>703.70197804746829</v>
      </c>
      <c r="J40" s="74">
        <f t="shared" si="9"/>
        <v>707.32433484192995</v>
      </c>
      <c r="K40" s="839"/>
      <c r="L40" s="467"/>
      <c r="M40" s="839"/>
      <c r="N40" s="839"/>
    </row>
    <row r="41" spans="1:14" s="339" customFormat="1">
      <c r="A41" s="114"/>
      <c r="B41" s="114" t="s">
        <v>925</v>
      </c>
      <c r="C41" s="114"/>
      <c r="D41" s="114"/>
      <c r="E41" s="839" t="str">
        <f>Data!$C$9</f>
        <v>£m 18/19</v>
      </c>
      <c r="F41" s="21">
        <f>AVERAGE(F17,F24*(1/(1+F37)))</f>
        <v>1729.632877059455</v>
      </c>
      <c r="G41" s="21">
        <f t="shared" ref="G41:J41" si="10">AVERAGE(G17,G24*(1/(1+G37)))</f>
        <v>1744.3414930032923</v>
      </c>
      <c r="H41" s="21">
        <f t="shared" si="10"/>
        <v>1751.1014432909419</v>
      </c>
      <c r="I41" s="21">
        <f t="shared" si="10"/>
        <v>1759.2549451186705</v>
      </c>
      <c r="J41" s="21">
        <f t="shared" si="10"/>
        <v>1768.3108371048247</v>
      </c>
      <c r="K41" s="839"/>
      <c r="L41" s="467"/>
      <c r="M41" s="839"/>
      <c r="N41" s="839"/>
    </row>
    <row r="42" spans="1:14" s="339" customFormat="1">
      <c r="A42" s="114"/>
      <c r="B42" s="114"/>
      <c r="C42" s="114"/>
      <c r="D42" s="114"/>
      <c r="E42" s="839"/>
      <c r="F42" s="839"/>
      <c r="G42" s="839"/>
      <c r="H42" s="839"/>
      <c r="I42" s="839"/>
      <c r="J42" s="839"/>
      <c r="K42" s="839"/>
      <c r="L42" s="467"/>
      <c r="M42" s="839"/>
      <c r="N42" s="839"/>
    </row>
    <row r="43" spans="1:14" s="339" customFormat="1">
      <c r="A43" s="114"/>
      <c r="B43" s="88" t="s">
        <v>926</v>
      </c>
      <c r="C43" s="88"/>
      <c r="D43" s="88"/>
      <c r="E43" s="839" t="str">
        <f>Data!$C$9</f>
        <v>£m 18/19</v>
      </c>
      <c r="F43" s="154">
        <f>F34*F39</f>
        <v>21.274484387831297</v>
      </c>
      <c r="G43" s="155">
        <f t="shared" ref="G43:J44" si="11">G34*G39</f>
        <v>19.885493020237529</v>
      </c>
      <c r="H43" s="155">
        <f t="shared" si="11"/>
        <v>20.172688626711647</v>
      </c>
      <c r="I43" s="155">
        <f t="shared" si="11"/>
        <v>22.27216760520237</v>
      </c>
      <c r="J43" s="155">
        <f t="shared" si="11"/>
        <v>24.296590901820291</v>
      </c>
      <c r="K43" s="839"/>
      <c r="L43" s="467"/>
      <c r="M43" s="839"/>
      <c r="N43" s="839"/>
    </row>
    <row r="44" spans="1:14">
      <c r="B44" s="88" t="s">
        <v>927</v>
      </c>
      <c r="C44" s="88"/>
      <c r="D44" s="88"/>
      <c r="E44" s="839" t="str">
        <f>Data!$C$9</f>
        <v>£m 18/19</v>
      </c>
      <c r="F44" s="15">
        <f>F35*F40</f>
        <v>31.259226729995177</v>
      </c>
      <c r="G44" s="16">
        <f t="shared" si="11"/>
        <v>31.794534523612317</v>
      </c>
      <c r="H44" s="16">
        <f t="shared" si="11"/>
        <v>37.007038237261121</v>
      </c>
      <c r="I44" s="16">
        <f t="shared" si="11"/>
        <v>39.319670318908237</v>
      </c>
      <c r="J44" s="16">
        <f t="shared" si="11"/>
        <v>39.026922202394459</v>
      </c>
      <c r="K44" s="839"/>
      <c r="L44" s="467"/>
      <c r="M44" s="839"/>
      <c r="N44" s="839"/>
    </row>
    <row r="45" spans="1:14">
      <c r="B45" s="114" t="s">
        <v>928</v>
      </c>
      <c r="E45" s="839" t="str">
        <f>Data!$C$9</f>
        <v>£m 18/19</v>
      </c>
      <c r="F45" s="21">
        <f>SUM(F43:F44)</f>
        <v>52.533711117826471</v>
      </c>
      <c r="G45" s="22">
        <f t="shared" ref="G45:J45" si="12">SUM(G43:G44)</f>
        <v>51.680027543849846</v>
      </c>
      <c r="H45" s="22">
        <f t="shared" si="12"/>
        <v>57.179726863972768</v>
      </c>
      <c r="I45" s="22">
        <f t="shared" si="12"/>
        <v>61.591837924110607</v>
      </c>
      <c r="J45" s="22">
        <f t="shared" si="12"/>
        <v>63.323513104214754</v>
      </c>
      <c r="K45" s="839"/>
      <c r="L45" s="467"/>
      <c r="M45" s="839"/>
      <c r="N45" s="839"/>
    </row>
    <row r="46" spans="1:14">
      <c r="K46" s="839"/>
      <c r="L46" s="467"/>
      <c r="M46" s="839"/>
      <c r="N46" s="839"/>
    </row>
    <row r="47" spans="1:14">
      <c r="B47" s="88"/>
      <c r="C47" s="88"/>
      <c r="D47" s="88"/>
      <c r="E47" s="29"/>
      <c r="F47" s="571"/>
      <c r="G47" s="571"/>
      <c r="H47" s="571"/>
      <c r="I47" s="571"/>
      <c r="J47" s="571"/>
      <c r="K47" s="839"/>
      <c r="L47" s="467"/>
      <c r="M47" s="839"/>
      <c r="N47" s="839"/>
    </row>
    <row r="48" spans="1:14">
      <c r="B48" s="88"/>
      <c r="C48" s="88"/>
      <c r="D48" s="88"/>
      <c r="E48" s="29"/>
      <c r="F48" s="571"/>
      <c r="G48" s="571"/>
      <c r="H48" s="571"/>
      <c r="I48" s="571"/>
      <c r="J48" s="571"/>
      <c r="K48" s="839"/>
      <c r="L48" s="467"/>
      <c r="M48" s="839"/>
      <c r="N48" s="839"/>
    </row>
    <row r="49" spans="2:14">
      <c r="E49" s="29"/>
      <c r="F49" s="858"/>
      <c r="G49" s="858"/>
      <c r="H49" s="858"/>
      <c r="I49" s="858"/>
      <c r="J49" s="858"/>
      <c r="K49" s="839"/>
      <c r="L49" s="467"/>
      <c r="M49" s="839"/>
      <c r="N49" s="839"/>
    </row>
    <row r="50" spans="2:14">
      <c r="E50" s="839"/>
      <c r="F50" s="839"/>
      <c r="G50" s="839"/>
      <c r="H50" s="839"/>
      <c r="I50" s="839"/>
      <c r="J50" s="839"/>
      <c r="K50" s="839"/>
      <c r="L50" s="467"/>
      <c r="M50" s="839"/>
      <c r="N50" s="839"/>
    </row>
    <row r="54" spans="2:14">
      <c r="E54" s="114"/>
      <c r="M54" s="114"/>
    </row>
    <row r="55" spans="2:14">
      <c r="E55" s="114"/>
      <c r="M55" s="114"/>
    </row>
    <row r="56" spans="2:14">
      <c r="B56" s="88"/>
      <c r="C56" s="88"/>
      <c r="D56" s="88"/>
      <c r="E56" s="29"/>
      <c r="F56" s="571"/>
      <c r="G56" s="571"/>
      <c r="H56" s="571"/>
      <c r="I56" s="571"/>
      <c r="J56" s="571"/>
      <c r="K56" s="429"/>
    </row>
    <row r="57" spans="2:14">
      <c r="B57" s="88"/>
      <c r="C57" s="88"/>
      <c r="D57" s="88"/>
      <c r="E57" s="29"/>
      <c r="F57" s="858"/>
      <c r="G57" s="858"/>
      <c r="H57" s="858"/>
      <c r="I57" s="858"/>
      <c r="J57" s="858"/>
    </row>
    <row r="58" spans="2:14">
      <c r="E58" s="29"/>
      <c r="F58" s="571"/>
      <c r="G58" s="571"/>
      <c r="H58" s="571"/>
      <c r="I58" s="571"/>
      <c r="J58" s="571"/>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45" priority="15">
      <formula>AND(F$5="Actuals",G$5="Forecast")</formula>
    </cfRule>
  </conditionalFormatting>
  <conditionalFormatting sqref="F7:J7">
    <cfRule type="expression" dxfId="44" priority="1">
      <formula>AND(F$5="Actuals",G$5="Forecast")</formula>
    </cfRule>
  </conditionalFormatting>
  <conditionalFormatting sqref="J6">
    <cfRule type="expression" dxfId="4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zoomScale="90" zoomScaleNormal="90" workbookViewId="0">
      <selection activeCell="A5" sqref="A5"/>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Cadent-WM</v>
      </c>
      <c r="B2" s="332"/>
      <c r="C2" s="332"/>
      <c r="D2" s="332"/>
      <c r="E2" s="332"/>
      <c r="F2" s="332"/>
      <c r="G2" s="332"/>
      <c r="H2" s="332"/>
      <c r="I2" s="332"/>
      <c r="J2" s="334"/>
    </row>
    <row r="3" spans="1:20" ht="20">
      <c r="A3" s="331">
        <f>Reporting_Year</f>
        <v>2024</v>
      </c>
      <c r="B3" s="335"/>
      <c r="C3" s="335"/>
      <c r="D3" s="335"/>
      <c r="E3" s="876"/>
      <c r="F3" s="876"/>
      <c r="G3" s="876"/>
      <c r="H3" s="876"/>
      <c r="I3" s="876"/>
      <c r="J3" s="337"/>
    </row>
    <row r="4" spans="1:20" ht="12.75" customHeight="1">
      <c r="A4" s="877"/>
      <c r="B4" s="878"/>
      <c r="C4" s="878"/>
      <c r="D4" s="877"/>
      <c r="E4" s="877"/>
      <c r="F4" s="877"/>
      <c r="G4" s="877"/>
      <c r="H4" s="877"/>
      <c r="I4" s="877"/>
      <c r="J4" s="877"/>
      <c r="K4" s="878"/>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0" t="str">
        <f>RIIO_2_start_date+3&amp;"/"&amp;RIGHT(RIIO_2_start_date+4,2)</f>
        <v>2025/26</v>
      </c>
    </row>
    <row r="8" spans="1:20" s="339" customFormat="1">
      <c r="B8" s="879" t="s">
        <v>929</v>
      </c>
      <c r="C8" s="579"/>
      <c r="D8" s="580"/>
      <c r="E8" s="580"/>
      <c r="F8" s="580"/>
      <c r="G8" s="580"/>
      <c r="H8" s="580"/>
      <c r="I8" s="580"/>
    </row>
    <row r="9" spans="1:20" s="339" customFormat="1" ht="34.5" customHeight="1">
      <c r="B9" s="1378" t="s">
        <v>930</v>
      </c>
      <c r="C9" s="1378"/>
      <c r="D9" s="1378"/>
      <c r="E9" s="1378"/>
      <c r="F9" s="1378"/>
      <c r="G9" s="1378"/>
      <c r="H9" s="1378"/>
      <c r="I9" s="1378"/>
    </row>
    <row r="10" spans="1:20" s="339" customFormat="1">
      <c r="B10" s="838"/>
      <c r="C10" s="838"/>
    </row>
    <row r="11" spans="1:20" s="339" customFormat="1" ht="34.5" customHeight="1">
      <c r="B11" s="880" t="s">
        <v>931</v>
      </c>
      <c r="C11" s="429"/>
      <c r="D11" s="29" t="s">
        <v>522</v>
      </c>
      <c r="E11" s="881">
        <v>84.211230000000043</v>
      </c>
      <c r="F11" s="881">
        <v>97.513247319300049</v>
      </c>
      <c r="G11" s="881"/>
      <c r="H11" s="881"/>
      <c r="I11" s="881"/>
      <c r="J11" s="114" t="s">
        <v>932</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2"/>
      <c r="C14" s="429"/>
      <c r="D14" s="29"/>
      <c r="E14" s="883"/>
      <c r="F14" s="883"/>
      <c r="G14" s="883"/>
      <c r="H14" s="883"/>
      <c r="I14" s="883"/>
      <c r="J14" s="114"/>
    </row>
    <row r="15" spans="1:20">
      <c r="B15" s="429" t="s">
        <v>933</v>
      </c>
      <c r="C15" s="429"/>
      <c r="D15" s="29"/>
      <c r="E15" s="29"/>
      <c r="F15" s="29"/>
      <c r="G15" s="29"/>
      <c r="H15" s="29"/>
      <c r="I15" s="29"/>
      <c r="M15" s="339"/>
      <c r="N15" s="339"/>
    </row>
    <row r="16" spans="1:20">
      <c r="B16" s="564" t="s">
        <v>934</v>
      </c>
      <c r="C16" s="564"/>
      <c r="D16" s="29" t="s">
        <v>522</v>
      </c>
      <c r="E16" s="881">
        <v>0</v>
      </c>
      <c r="F16" s="881">
        <v>0</v>
      </c>
      <c r="G16" s="881"/>
      <c r="H16" s="881"/>
      <c r="I16" s="881"/>
      <c r="M16" s="339"/>
      <c r="N16" s="339"/>
    </row>
    <row r="17" spans="2:38">
      <c r="B17" s="564" t="s">
        <v>935</v>
      </c>
      <c r="C17" s="564"/>
      <c r="D17" s="29" t="s">
        <v>522</v>
      </c>
      <c r="E17" s="881">
        <v>0.40749165860000003</v>
      </c>
      <c r="F17" s="881">
        <v>0.33959272660000001</v>
      </c>
      <c r="G17" s="881"/>
      <c r="H17" s="881"/>
      <c r="I17" s="881"/>
      <c r="M17" s="339"/>
      <c r="N17" s="339"/>
    </row>
    <row r="18" spans="2:38">
      <c r="B18" s="564" t="s">
        <v>936</v>
      </c>
      <c r="C18" s="564"/>
      <c r="D18" s="29" t="s">
        <v>522</v>
      </c>
      <c r="E18" s="881">
        <v>1.1500284299000001</v>
      </c>
      <c r="F18" s="881">
        <v>0.37121935709999998</v>
      </c>
      <c r="G18" s="881"/>
      <c r="H18" s="881"/>
      <c r="I18" s="881"/>
      <c r="M18" s="339"/>
      <c r="N18" s="339"/>
    </row>
    <row r="19" spans="2:38">
      <c r="B19" s="564" t="s">
        <v>937</v>
      </c>
      <c r="C19" s="564"/>
      <c r="D19" s="29" t="s">
        <v>522</v>
      </c>
      <c r="E19" s="881">
        <v>-2.2536064464000001</v>
      </c>
      <c r="F19" s="881">
        <v>-4.9504359310524677</v>
      </c>
      <c r="G19" s="881"/>
      <c r="H19" s="881"/>
      <c r="I19" s="881"/>
      <c r="M19" s="339"/>
      <c r="N19" s="339"/>
    </row>
    <row r="20" spans="2:38">
      <c r="B20" s="884" t="s">
        <v>938</v>
      </c>
      <c r="C20" s="884"/>
      <c r="D20" s="29" t="s">
        <v>522</v>
      </c>
      <c r="E20" s="552">
        <f>SUM(E16:E19)</f>
        <v>-0.69608635790000006</v>
      </c>
      <c r="F20" s="510">
        <f t="shared" ref="F20:I20" si="1">SUM(F16:F19)</f>
        <v>-4.2396238473524672</v>
      </c>
      <c r="G20" s="510">
        <f t="shared" si="1"/>
        <v>0</v>
      </c>
      <c r="H20" s="510">
        <f t="shared" si="1"/>
        <v>0</v>
      </c>
      <c r="I20" s="510">
        <f t="shared" si="1"/>
        <v>0</v>
      </c>
      <c r="M20" s="339"/>
      <c r="N20" s="339"/>
    </row>
    <row r="21" spans="2:38">
      <c r="B21" s="564"/>
      <c r="C21" s="564"/>
      <c r="D21" s="564"/>
      <c r="E21" s="885"/>
      <c r="F21" s="885"/>
      <c r="G21" s="885"/>
      <c r="H21" s="885"/>
      <c r="I21" s="885"/>
    </row>
    <row r="22" spans="2:38">
      <c r="B22" s="429" t="s">
        <v>939</v>
      </c>
      <c r="C22" s="429"/>
      <c r="D22" s="29"/>
      <c r="E22" s="29"/>
      <c r="F22" s="248"/>
      <c r="G22" s="248"/>
      <c r="H22" s="248"/>
      <c r="I22" s="248"/>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row>
    <row r="23" spans="2:38">
      <c r="B23" s="564" t="s">
        <v>940</v>
      </c>
      <c r="C23" s="886"/>
      <c r="D23" s="29" t="s">
        <v>522</v>
      </c>
      <c r="E23" s="891">
        <f>IF(E5="Actuals",('R4 - Incentives and Other Rev'!D71+'R4 - Incentives and Other Rev'!D45+'R4 - Incentives and Other Rev'!D52+'R4 - Incentives and Other Rev'!D59)/(1-INDEX(Corporate_Tax,MATCH(E$6,Data!$C$18:$N$18,0)))*INDEX(Corporate_Tax,MATCH(E$6,Data!$C$18:$N$18,0)),0)*E46</f>
        <v>3.9698554938467613E-2</v>
      </c>
      <c r="F23" s="891">
        <f>IF(F5="Actuals",('R4 - Incentives and Other Rev'!E71+'R4 - Incentives and Other Rev'!E45+'R4 - Incentives and Other Rev'!E52+'R4 - Incentives and Other Rev'!E59)/(1-INDEX(Corporate_Tax,MATCH(F$6,Data!$C$18:$N$18,0)))*INDEX(Corporate_Tax,MATCH(F$6,Data!$C$18:$N$18,0)),0)*F46</f>
        <v>2.7678163560022603E-2</v>
      </c>
      <c r="G23" s="891">
        <f>IF(G5="Actuals",('R4 - Incentives and Other Rev'!F71+'R4 - Incentives and Other Rev'!F45+'R4 - Incentives and Other Rev'!F52+'R4 - Incentives and Other Rev'!F59)/(1-INDEX(Corporate_Tax,MATCH(G$6,Data!$C$18:$N$18,0)))*INDEX(Corporate_Tax,MATCH(G$6,Data!$C$18:$N$18,0)),0)*G46</f>
        <v>0</v>
      </c>
      <c r="H23" s="891">
        <f>IF(H5="Actuals",('R4 - Incentives and Other Rev'!G71+'R4 - Incentives and Other Rev'!G45+'R4 - Incentives and Other Rev'!G52+'R4 - Incentives and Other Rev'!G59)/(1-INDEX(Corporate_Tax,MATCH(H$6,Data!$C$18:$N$18,0)))*INDEX(Corporate_Tax,MATCH(H$6,Data!$C$18:$N$18,0)),0)*H46</f>
        <v>0</v>
      </c>
      <c r="I23" s="891">
        <f>IF(I5="Actuals",('R4 - Incentives and Other Rev'!H71+'R4 - Incentives and Other Rev'!H45+'R4 - Incentives and Other Rev'!H52+'R4 - Incentives and Other Rev'!H59)/(1-INDEX(Corporate_Tax,MATCH(I$6,Data!$C$18:$N$18,0)))*INDEX(Corporate_Tax,MATCH(I$6,Data!$C$18:$N$18,0)),0)*I46</f>
        <v>0</v>
      </c>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row>
    <row r="24" spans="2:38">
      <c r="B24" s="564" t="s">
        <v>941</v>
      </c>
      <c r="C24" s="564"/>
      <c r="D24" s="29" t="s">
        <v>522</v>
      </c>
      <c r="E24" s="881">
        <v>-13.98835869188748</v>
      </c>
      <c r="F24" s="881">
        <v>30.260487809713009</v>
      </c>
      <c r="G24" s="881"/>
      <c r="H24" s="881"/>
      <c r="I24" s="881"/>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4"/>
      <c r="AJ24" s="564"/>
      <c r="AK24" s="564"/>
      <c r="AL24" s="564"/>
    </row>
    <row r="25" spans="2:38">
      <c r="B25" s="564" t="s">
        <v>942</v>
      </c>
      <c r="C25" s="564"/>
      <c r="D25" s="29" t="s">
        <v>522</v>
      </c>
      <c r="E25" s="881">
        <v>-0.30282613561214577</v>
      </c>
      <c r="F25" s="881">
        <v>-4.4298408455550637</v>
      </c>
      <c r="G25" s="881"/>
      <c r="H25" s="881"/>
      <c r="I25" s="881"/>
    </row>
    <row r="26" spans="2:38">
      <c r="B26" s="564" t="s">
        <v>943</v>
      </c>
      <c r="C26" s="564"/>
      <c r="D26" s="29" t="s">
        <v>522</v>
      </c>
      <c r="E26" s="881">
        <v>0</v>
      </c>
      <c r="F26" s="881">
        <v>0</v>
      </c>
      <c r="G26" s="881"/>
      <c r="H26" s="881"/>
      <c r="I26" s="881"/>
    </row>
    <row r="27" spans="2:38">
      <c r="B27" s="564" t="s">
        <v>944</v>
      </c>
      <c r="C27" s="564"/>
      <c r="D27" s="29" t="s">
        <v>522</v>
      </c>
      <c r="E27" s="881">
        <v>0</v>
      </c>
      <c r="F27" s="881">
        <v>0</v>
      </c>
      <c r="G27" s="881"/>
      <c r="H27" s="881"/>
      <c r="I27" s="881"/>
    </row>
    <row r="28" spans="2:38">
      <c r="B28" s="564" t="s">
        <v>1152</v>
      </c>
      <c r="C28" s="564"/>
      <c r="D28" s="29" t="s">
        <v>522</v>
      </c>
      <c r="E28" s="881">
        <v>69.875783237169856</v>
      </c>
      <c r="F28" s="881">
        <v>47.531699194962997</v>
      </c>
      <c r="G28" s="881"/>
      <c r="H28" s="881"/>
      <c r="I28" s="881"/>
    </row>
    <row r="29" spans="2:38">
      <c r="B29" s="564" t="s">
        <v>1157</v>
      </c>
      <c r="C29" s="564"/>
      <c r="D29" s="29" t="s">
        <v>522</v>
      </c>
      <c r="E29" s="881"/>
      <c r="F29" s="881">
        <v>-3.4936121255119881</v>
      </c>
      <c r="G29" s="881"/>
      <c r="H29" s="881"/>
      <c r="I29" s="881"/>
    </row>
    <row r="30" spans="2:38">
      <c r="B30" s="564" t="s">
        <v>1153</v>
      </c>
      <c r="C30" s="564"/>
      <c r="D30" s="29" t="s">
        <v>522</v>
      </c>
      <c r="E30" s="881">
        <v>1.2943924173000019</v>
      </c>
      <c r="F30" s="881">
        <v>1.1986431788999998</v>
      </c>
      <c r="G30" s="881"/>
      <c r="H30" s="881"/>
      <c r="I30" s="881"/>
    </row>
    <row r="31" spans="2:38">
      <c r="B31" s="564" t="s">
        <v>1154</v>
      </c>
      <c r="C31" s="564"/>
      <c r="D31" s="29" t="s">
        <v>522</v>
      </c>
      <c r="E31" s="881">
        <v>7.1761050303860507</v>
      </c>
      <c r="F31" s="881">
        <v>15.991183326479037</v>
      </c>
      <c r="G31" s="881"/>
      <c r="H31" s="881"/>
      <c r="I31" s="881"/>
    </row>
    <row r="32" spans="2:38">
      <c r="B32" s="564" t="s">
        <v>1155</v>
      </c>
      <c r="C32" s="564"/>
      <c r="D32" s="29" t="s">
        <v>522</v>
      </c>
      <c r="E32" s="881">
        <v>1.2161363002427377</v>
      </c>
      <c r="F32" s="881">
        <v>0.27816376580000002</v>
      </c>
      <c r="G32" s="881"/>
      <c r="H32" s="881"/>
      <c r="I32" s="881"/>
    </row>
    <row r="33" spans="2:9">
      <c r="B33" s="564" t="s">
        <v>1156</v>
      </c>
      <c r="C33" s="564"/>
      <c r="D33" s="29" t="s">
        <v>522</v>
      </c>
      <c r="E33" s="881">
        <v>1.2256006234275671</v>
      </c>
      <c r="F33" s="881">
        <v>0.61801856700000002</v>
      </c>
      <c r="G33" s="881"/>
      <c r="H33" s="881"/>
      <c r="I33" s="881"/>
    </row>
    <row r="34" spans="2:9" hidden="1">
      <c r="B34" s="564"/>
      <c r="C34" s="564"/>
      <c r="D34" s="29"/>
      <c r="E34" s="881"/>
      <c r="F34" s="881"/>
      <c r="G34" s="881"/>
      <c r="H34" s="881"/>
      <c r="I34" s="881"/>
    </row>
    <row r="35" spans="2:9" hidden="1">
      <c r="B35" s="564"/>
      <c r="C35" s="564"/>
      <c r="D35" s="29"/>
      <c r="E35" s="881"/>
      <c r="F35" s="881"/>
      <c r="G35" s="881"/>
      <c r="H35" s="881"/>
      <c r="I35" s="881"/>
    </row>
    <row r="36" spans="2:9" hidden="1">
      <c r="B36" s="564"/>
      <c r="C36" s="564"/>
      <c r="D36" s="29"/>
      <c r="E36" s="881"/>
      <c r="F36" s="881"/>
      <c r="G36" s="881"/>
      <c r="H36" s="881"/>
      <c r="I36" s="881"/>
    </row>
    <row r="37" spans="2:9" hidden="1">
      <c r="B37" s="564"/>
      <c r="C37" s="564"/>
      <c r="D37" s="29"/>
      <c r="E37" s="881"/>
      <c r="F37" s="881"/>
      <c r="G37" s="881"/>
      <c r="H37" s="881"/>
      <c r="I37" s="881"/>
    </row>
    <row r="38" spans="2:9" hidden="1">
      <c r="B38" s="564"/>
      <c r="C38" s="564"/>
      <c r="D38" s="29"/>
      <c r="E38" s="881"/>
      <c r="F38" s="881"/>
      <c r="G38" s="881"/>
      <c r="H38" s="881"/>
      <c r="I38" s="881"/>
    </row>
    <row r="39" spans="2:9" hidden="1">
      <c r="B39" s="564"/>
      <c r="C39" s="564"/>
      <c r="D39" s="29"/>
      <c r="E39" s="881"/>
      <c r="F39" s="881"/>
      <c r="G39" s="881"/>
      <c r="H39" s="881"/>
      <c r="I39" s="881"/>
    </row>
    <row r="40" spans="2:9" hidden="1">
      <c r="B40" s="564"/>
      <c r="C40" s="564"/>
      <c r="D40" s="29"/>
      <c r="E40" s="881"/>
      <c r="F40" s="881"/>
      <c r="G40" s="881"/>
      <c r="H40" s="881"/>
      <c r="I40" s="881"/>
    </row>
    <row r="41" spans="2:9">
      <c r="B41" s="429" t="s">
        <v>554</v>
      </c>
      <c r="C41" s="429"/>
      <c r="D41" s="29" t="s">
        <v>522</v>
      </c>
      <c r="E41" s="891">
        <f>SUM(E23:E40)</f>
        <v>66.536531335965051</v>
      </c>
      <c r="F41" s="892">
        <f>SUM(F23:F40)</f>
        <v>87.982421035348011</v>
      </c>
      <c r="G41" s="892">
        <f>SUM(G23:G40)</f>
        <v>0</v>
      </c>
      <c r="H41" s="892">
        <f>SUM(H23:H40)</f>
        <v>0</v>
      </c>
      <c r="I41" s="892">
        <f>SUM(I23:I40)</f>
        <v>0</v>
      </c>
    </row>
    <row r="43" spans="2:9" ht="25.5" customHeight="1">
      <c r="B43" s="779" t="s">
        <v>946</v>
      </c>
      <c r="D43" s="29" t="s">
        <v>522</v>
      </c>
      <c r="E43" s="881">
        <v>0</v>
      </c>
      <c r="F43" s="881">
        <v>0</v>
      </c>
      <c r="G43" s="881">
        <v>29.312013638860098</v>
      </c>
      <c r="H43" s="881">
        <v>20.502466909590208</v>
      </c>
      <c r="I43" s="881">
        <v>31.120288286332769</v>
      </c>
    </row>
    <row r="44" spans="2:9" ht="12.75" customHeight="1">
      <c r="B44" s="779" t="s">
        <v>947</v>
      </c>
      <c r="C44" s="779"/>
      <c r="D44" s="29" t="s">
        <v>522</v>
      </c>
      <c r="E44" s="891">
        <f>IF(ISNUMBER(E11),E11-E20-E41,E43-E20-E41)</f>
        <v>18.370785021934992</v>
      </c>
      <c r="F44" s="891">
        <f>IF(ISNUMBER(F11),F11-F20-F41,F43-F20-F41)</f>
        <v>13.7704501313045</v>
      </c>
      <c r="G44" s="891">
        <f>IF(ISNUMBER(G11),G11-G20-G41,G43-G20-G41)</f>
        <v>29.312013638860098</v>
      </c>
      <c r="H44" s="891">
        <f>IF(ISNUMBER(H11),H11-H20-H41,H43-H20-H41)</f>
        <v>20.502466909590208</v>
      </c>
      <c r="I44" s="891">
        <f>IF(ISNUMBER(I11),I11-I20-I41,I43-I20-I41)</f>
        <v>31.120288286332769</v>
      </c>
    </row>
    <row r="45" spans="2:9" ht="12.75" customHeight="1">
      <c r="B45" s="565"/>
      <c r="C45" s="565"/>
      <c r="D45" s="29"/>
      <c r="E45" s="883"/>
      <c r="F45" s="883"/>
      <c r="G45" s="883"/>
      <c r="H45" s="883"/>
      <c r="I45" s="883"/>
    </row>
    <row r="46" spans="2:9">
      <c r="B46" s="114" t="s">
        <v>680</v>
      </c>
      <c r="D46" s="136" t="s">
        <v>681</v>
      </c>
      <c r="E46" s="893">
        <f t="shared" ref="E46:I46" si="2">INDEX(real_to_nominal_CF,MATCH(E$6,calendar_year,0))</f>
        <v>1.0847835302284383</v>
      </c>
      <c r="F46" s="893">
        <f t="shared" si="2"/>
        <v>1.1799638149272795</v>
      </c>
      <c r="G46" s="893">
        <f t="shared" si="2"/>
        <v>1.2454152449594804</v>
      </c>
      <c r="H46" s="893">
        <f t="shared" si="2"/>
        <v>1.2741504065955518</v>
      </c>
      <c r="I46" s="893">
        <f t="shared" si="2"/>
        <v>1.2937411435491952</v>
      </c>
    </row>
    <row r="47" spans="2:9">
      <c r="B47" s="565"/>
      <c r="C47" s="565"/>
      <c r="D47" s="29"/>
      <c r="E47" s="29"/>
      <c r="F47" s="29"/>
      <c r="G47" s="29"/>
      <c r="H47" s="29"/>
      <c r="I47" s="29"/>
    </row>
    <row r="48" spans="2:9">
      <c r="B48" s="779" t="s">
        <v>948</v>
      </c>
      <c r="C48" s="779"/>
      <c r="D48" s="839" t="str">
        <f>Data!$C$9</f>
        <v>£m 18/19</v>
      </c>
      <c r="E48" s="891">
        <f>Adjusted_regulated_tax_liability/E46</f>
        <v>16.934977818170225</v>
      </c>
      <c r="F48" s="891">
        <f>Adjusted_regulated_tax_liability/F46</f>
        <v>11.670230863946591</v>
      </c>
      <c r="G48" s="891">
        <f>Adjusted_regulated_tax_liability/G46</f>
        <v>23.535936112468065</v>
      </c>
      <c r="H48" s="891">
        <f>Adjusted_regulated_tax_liability/H46</f>
        <v>16.091088464486297</v>
      </c>
      <c r="I48" s="891">
        <f>Adjusted_regulated_tax_liability/I46</f>
        <v>24.054493776829787</v>
      </c>
    </row>
    <row r="49" spans="2:11">
      <c r="B49" s="779"/>
      <c r="C49" s="779"/>
      <c r="D49" s="779"/>
      <c r="E49" s="779"/>
      <c r="F49" s="779"/>
      <c r="G49" s="779"/>
      <c r="H49" s="779"/>
      <c r="I49" s="779"/>
    </row>
    <row r="50" spans="2:11">
      <c r="B50" s="578" t="s">
        <v>949</v>
      </c>
      <c r="C50" s="578"/>
      <c r="D50" s="839"/>
      <c r="E50" s="839"/>
      <c r="F50" s="839"/>
      <c r="G50" s="839"/>
      <c r="H50" s="839"/>
      <c r="I50" s="839"/>
    </row>
    <row r="51" spans="2:11">
      <c r="B51" s="579" t="s">
        <v>686</v>
      </c>
      <c r="C51" s="579"/>
      <c r="D51" s="779"/>
      <c r="E51" s="779"/>
      <c r="F51" s="779"/>
      <c r="G51" s="779"/>
      <c r="H51" s="779"/>
      <c r="I51" s="779"/>
      <c r="K51" s="779"/>
    </row>
    <row r="52" spans="2:11">
      <c r="K52" s="779"/>
    </row>
    <row r="53" spans="2:11" ht="12.75" customHeight="1">
      <c r="B53" s="88" t="s">
        <v>24</v>
      </c>
      <c r="C53" s="88"/>
      <c r="D53" s="468" t="s">
        <v>486</v>
      </c>
      <c r="E53" s="104">
        <f>Data!$C$8</f>
        <v>0.6</v>
      </c>
      <c r="F53" s="105">
        <f>Data!$C$8</f>
        <v>0.6</v>
      </c>
      <c r="G53" s="105">
        <f>Data!$C$8</f>
        <v>0.6</v>
      </c>
      <c r="H53" s="105">
        <f>Data!$C$8</f>
        <v>0.6</v>
      </c>
      <c r="I53" s="105">
        <f>Data!$C$8</f>
        <v>0.6</v>
      </c>
      <c r="K53" s="779"/>
    </row>
    <row r="54" spans="2:11" ht="12.75" customHeight="1">
      <c r="B54" s="88" t="s">
        <v>687</v>
      </c>
      <c r="C54" s="88"/>
      <c r="D54" s="468" t="s">
        <v>486</v>
      </c>
      <c r="E54" s="105">
        <f>'R6 - Net Debt'!D68</f>
        <v>0.61997328769433102</v>
      </c>
      <c r="F54" s="105">
        <f>'R6 - Net Debt'!E68</f>
        <v>0.59586982945258848</v>
      </c>
      <c r="G54" s="105">
        <f>'R6 - Net Debt'!F68</f>
        <v>0.58824596772119597</v>
      </c>
      <c r="H54" s="105">
        <f>'R6 - Net Debt'!G68</f>
        <v>0.60170373601964555</v>
      </c>
      <c r="I54" s="105">
        <f>'R6 - Net Debt'!H68</f>
        <v>0.61598550297753485</v>
      </c>
      <c r="K54" s="779"/>
    </row>
    <row r="55" spans="2:11" ht="12.75" customHeight="1">
      <c r="B55" s="88"/>
      <c r="C55" s="88"/>
      <c r="D55" s="468"/>
      <c r="E55" s="468"/>
      <c r="F55" s="468"/>
      <c r="G55" s="468"/>
      <c r="H55" s="468"/>
      <c r="I55" s="468"/>
      <c r="K55" s="779"/>
    </row>
    <row r="56" spans="2:11" ht="12.75" customHeight="1">
      <c r="B56" s="779" t="s">
        <v>948</v>
      </c>
      <c r="C56" s="779"/>
      <c r="D56" s="29" t="s">
        <v>522</v>
      </c>
      <c r="E56" s="891">
        <f>E44</f>
        <v>18.370785021934992</v>
      </c>
      <c r="F56" s="891">
        <f>F44</f>
        <v>13.7704501313045</v>
      </c>
      <c r="G56" s="891">
        <f>G44</f>
        <v>29.312013638860098</v>
      </c>
      <c r="H56" s="891">
        <f>H44</f>
        <v>20.502466909590208</v>
      </c>
      <c r="I56" s="891">
        <f>I44</f>
        <v>31.120288286332769</v>
      </c>
      <c r="K56" s="779"/>
    </row>
    <row r="57" spans="2:11">
      <c r="B57" s="88" t="s">
        <v>950</v>
      </c>
      <c r="C57" s="88"/>
      <c r="D57" s="29" t="s">
        <v>522</v>
      </c>
      <c r="E57" s="891">
        <f>E74-E76</f>
        <v>2.3027459536256956E-2</v>
      </c>
      <c r="F57" s="891">
        <f>F74-F76</f>
        <v>3.8179732569963321E-2</v>
      </c>
      <c r="G57" s="891">
        <f>G74-G76</f>
        <v>9.1960577588400483E-2</v>
      </c>
      <c r="H57" s="891">
        <f>H74-H76</f>
        <v>1.3174051511197327E-2</v>
      </c>
      <c r="I57" s="891">
        <f>I74-I76</f>
        <v>0.20494477618338847</v>
      </c>
      <c r="K57" s="779"/>
    </row>
    <row r="58" spans="2:11">
      <c r="B58" s="88" t="s">
        <v>951</v>
      </c>
      <c r="C58" s="88"/>
      <c r="D58" s="29" t="s">
        <v>522</v>
      </c>
      <c r="E58" s="891">
        <f>SUM(E56:E57)</f>
        <v>18.393812481471251</v>
      </c>
      <c r="F58" s="891">
        <f>SUM(F56:F57)</f>
        <v>13.808629863874463</v>
      </c>
      <c r="G58" s="891">
        <f>SUM(G56:G57)</f>
        <v>29.403974216448496</v>
      </c>
      <c r="H58" s="891">
        <f>SUM(H56:H57)</f>
        <v>20.515640961101404</v>
      </c>
      <c r="I58" s="891">
        <f>SUM(I56:I57)</f>
        <v>31.325233062516158</v>
      </c>
    </row>
    <row r="60" spans="2:11">
      <c r="B60" s="88" t="s">
        <v>951</v>
      </c>
      <c r="C60" s="88"/>
      <c r="D60" s="839" t="str">
        <f>Data!$C$9</f>
        <v>£m 18/19</v>
      </c>
      <c r="E60" s="891">
        <f>E58/E46</f>
        <v>16.956205518346877</v>
      </c>
      <c r="F60" s="891">
        <f>F58/F46</f>
        <v>11.702587561742714</v>
      </c>
      <c r="G60" s="891">
        <f>G58/G46</f>
        <v>23.609775402584827</v>
      </c>
      <c r="H60" s="891">
        <f>H58/H46</f>
        <v>16.10142794359567</v>
      </c>
      <c r="I60" s="891">
        <f>I58/I46</f>
        <v>24.212906282457578</v>
      </c>
    </row>
    <row r="62" spans="2:11">
      <c r="B62" s="887" t="s">
        <v>952</v>
      </c>
      <c r="C62" s="887"/>
      <c r="D62" s="888"/>
      <c r="E62" s="888"/>
      <c r="F62" s="888"/>
      <c r="G62" s="888"/>
      <c r="H62" s="888"/>
      <c r="I62" s="888"/>
      <c r="K62" s="779"/>
    </row>
    <row r="63" spans="2:11" ht="12.65" customHeight="1">
      <c r="D63" s="839"/>
      <c r="E63" s="889"/>
      <c r="F63" s="889"/>
      <c r="G63" s="889"/>
      <c r="H63" s="889"/>
      <c r="I63" s="889"/>
    </row>
    <row r="64" spans="2:11">
      <c r="B64" s="114" t="s">
        <v>953</v>
      </c>
      <c r="D64" s="839" t="str">
        <f>Data!$C$9</f>
        <v>£m 18/19</v>
      </c>
      <c r="E64" s="848">
        <v>18.095293830025632</v>
      </c>
      <c r="F64" s="848">
        <v>13.366417241289529</v>
      </c>
      <c r="G64" s="848">
        <v>24.951475353335137</v>
      </c>
      <c r="H64" s="848">
        <v>28.661307648652222</v>
      </c>
      <c r="I64" s="848">
        <v>28.412545603692838</v>
      </c>
    </row>
    <row r="65" spans="2:10">
      <c r="D65" s="839"/>
      <c r="E65" s="839"/>
      <c r="F65" s="839"/>
      <c r="G65" s="839"/>
      <c r="H65" s="839"/>
      <c r="I65" s="839"/>
    </row>
    <row r="66" spans="2:10">
      <c r="B66" s="588" t="s">
        <v>695</v>
      </c>
      <c r="C66" s="588"/>
      <c r="D66" s="588"/>
      <c r="E66" s="588"/>
      <c r="F66" s="588"/>
      <c r="G66" s="588"/>
      <c r="H66" s="588"/>
      <c r="I66" s="588"/>
    </row>
    <row r="68" spans="2:10">
      <c r="B68" s="429" t="s">
        <v>954</v>
      </c>
      <c r="C68" s="429"/>
      <c r="D68" s="890" t="str">
        <f>Data!$C$9</f>
        <v>£m 18/19</v>
      </c>
      <c r="E68" s="509">
        <f>E$64-E48</f>
        <v>1.1603160118554072</v>
      </c>
      <c r="F68" s="509">
        <f>F$64-F48</f>
        <v>1.6961863773429382</v>
      </c>
      <c r="G68" s="509">
        <f>G$64-G48</f>
        <v>1.4155392408670728</v>
      </c>
      <c r="H68" s="509">
        <f>H$64-H48</f>
        <v>12.570219184165925</v>
      </c>
      <c r="I68" s="509">
        <f>I$64-I48</f>
        <v>4.3580518268630506</v>
      </c>
    </row>
    <row r="69" spans="2:10">
      <c r="B69" s="429"/>
      <c r="C69" s="429"/>
      <c r="D69" s="429"/>
      <c r="E69" s="429"/>
      <c r="F69" s="429"/>
      <c r="G69" s="429"/>
      <c r="H69" s="429"/>
      <c r="I69" s="429"/>
    </row>
    <row r="70" spans="2:10">
      <c r="B70" s="429" t="s">
        <v>955</v>
      </c>
      <c r="C70" s="429"/>
      <c r="D70" s="890" t="str">
        <f>Data!$C$9</f>
        <v>£m 18/19</v>
      </c>
      <c r="E70" s="509">
        <f>E$64-E60</f>
        <v>1.1390883116787549</v>
      </c>
      <c r="F70" s="509">
        <f>F$64-F60</f>
        <v>1.663829679546815</v>
      </c>
      <c r="G70" s="509">
        <f>G$64-G60</f>
        <v>1.3416999507503107</v>
      </c>
      <c r="H70" s="509">
        <f>H$64-H60</f>
        <v>12.559879705056552</v>
      </c>
      <c r="I70" s="509">
        <f>I$64-I60</f>
        <v>4.1996393212352601</v>
      </c>
    </row>
    <row r="72" spans="2:10">
      <c r="B72" s="429" t="s">
        <v>956</v>
      </c>
      <c r="C72" s="429"/>
      <c r="D72" s="890" t="str">
        <f>Data!$C$9</f>
        <v>£m 18/19</v>
      </c>
      <c r="E72" s="509">
        <f>E68-E70</f>
        <v>2.122770017665232E-2</v>
      </c>
      <c r="F72" s="551">
        <f>F68-F70</f>
        <v>3.2356697796123157E-2</v>
      </c>
      <c r="G72" s="551">
        <f>G68-G70</f>
        <v>7.3839290116762157E-2</v>
      </c>
      <c r="H72" s="551">
        <f>H68-H70</f>
        <v>1.0339479109372718E-2</v>
      </c>
      <c r="I72" s="551">
        <f>I68-I70</f>
        <v>0.15841250562779052</v>
      </c>
    </row>
    <row r="74" spans="2:10">
      <c r="B74" s="114" t="s">
        <v>957</v>
      </c>
      <c r="D74" s="29" t="s">
        <v>522</v>
      </c>
      <c r="E74" s="894">
        <f>-('R5 - Financing'!D83*INDEX(Corporate_Tax,MATCH(E$6,Data!$C$18:$N$18,0))*'R8 - Tax'!E$46)</f>
        <v>-3.6700847984065113</v>
      </c>
      <c r="F74" s="894">
        <f>-('R5 - Financing'!E83*INDEX(Corporate_Tax,MATCH(F$6,Data!$C$18:$N$18,0))*'R8 - Tax'!F$46)</f>
        <v>-9.966474429647505</v>
      </c>
      <c r="G74" s="894">
        <f>-('R5 - Financing'!F83*INDEX(Corporate_Tax,MATCH(G$6,Data!$C$18:$N$18,0))*'R8 - Tax'!G$46)</f>
        <v>-10.883131252692866</v>
      </c>
      <c r="H74" s="894">
        <f>-('R5 - Financing'!G83*INDEX(Corporate_Tax,MATCH(H$6,Data!$C$18:$N$18,0))*'R8 - Tax'!H$46)</f>
        <v>-2.4418795313354487</v>
      </c>
      <c r="I74" s="894">
        <f>-('R5 - Financing'!H83*INDEX(Corporate_Tax,MATCH(I$6,Data!$C$18:$N$18,0))*'R8 - Tax'!I$46)</f>
        <v>3.8968863633233701E-2</v>
      </c>
      <c r="J74" s="114" t="s">
        <v>958</v>
      </c>
    </row>
    <row r="75" spans="2:10">
      <c r="B75" s="114" t="s">
        <v>957</v>
      </c>
      <c r="D75" s="839" t="str">
        <f>Data!$C$9</f>
        <v>£m 18/19</v>
      </c>
      <c r="E75" s="891">
        <f>E74/E$46</f>
        <v>-3.3832416294462448</v>
      </c>
      <c r="F75" s="891">
        <f>F74/F$46</f>
        <v>-8.4464237831409541</v>
      </c>
      <c r="G75" s="891">
        <f>G74/G$46</f>
        <v>-8.7385563142411584</v>
      </c>
      <c r="H75" s="891">
        <f>H74/H$46</f>
        <v>-1.9164766723733928</v>
      </c>
      <c r="I75" s="891">
        <f>I74/I$46</f>
        <v>3.0121066975058206E-2</v>
      </c>
    </row>
    <row r="76" spans="2:10">
      <c r="B76" s="114" t="s">
        <v>959</v>
      </c>
      <c r="D76" s="29" t="s">
        <v>522</v>
      </c>
      <c r="E76" s="894">
        <f>-('R5 - Financing'!D85*INDEX(Corporate_Tax,MATCH(E$6,Data!$C$18:$N$18,0))*'R8 - Tax'!E$46)</f>
        <v>-3.6931122579427682</v>
      </c>
      <c r="F76" s="894">
        <f>-('R5 - Financing'!E85*INDEX(Corporate_Tax,MATCH(F$6,Data!$C$18:$N$18,0))*'R8 - Tax'!F$46)</f>
        <v>-10.004654162217468</v>
      </c>
      <c r="G76" s="894">
        <f>-('R5 - Financing'!F85*INDEX(Corporate_Tax,MATCH(G$6,Data!$C$18:$N$18,0))*'R8 - Tax'!G$46)</f>
        <v>-10.975091830281267</v>
      </c>
      <c r="H76" s="894">
        <f>-('R5 - Financing'!G85*INDEX(Corporate_Tax,MATCH(H$6,Data!$C$18:$N$18,0))*'R8 - Tax'!H$46)</f>
        <v>-2.455053582846646</v>
      </c>
      <c r="I76" s="894">
        <f>-('R5 - Financing'!H85*INDEX(Corporate_Tax,MATCH(I$6,Data!$C$18:$N$18,0))*'R8 - Tax'!I$46)</f>
        <v>-0.16597591255015476</v>
      </c>
      <c r="J76" s="114" t="s">
        <v>958</v>
      </c>
    </row>
    <row r="77" spans="2:10">
      <c r="B77" s="114" t="s">
        <v>959</v>
      </c>
      <c r="D77" s="839" t="str">
        <f>Data!$C$9</f>
        <v>£m 18/19</v>
      </c>
      <c r="E77" s="891">
        <f>E76/E$46</f>
        <v>-3.4044693296228945</v>
      </c>
      <c r="F77" s="891">
        <f>F76/F$46</f>
        <v>-8.4787804809370773</v>
      </c>
      <c r="G77" s="891">
        <f>G76/G$46</f>
        <v>-8.8123956043579188</v>
      </c>
      <c r="H77" s="891">
        <f>H76/H$46</f>
        <v>-1.9268161514827686</v>
      </c>
      <c r="I77" s="891">
        <f>I76/I$46</f>
        <v>-0.12829143865273032</v>
      </c>
    </row>
    <row r="78" spans="2:10">
      <c r="B78" s="114" t="s">
        <v>960</v>
      </c>
      <c r="D78" s="839" t="str">
        <f>Data!$C$9</f>
        <v>£m 18/19</v>
      </c>
      <c r="E78" s="891">
        <f>E75-E77</f>
        <v>2.1227700176649655E-2</v>
      </c>
      <c r="F78" s="891">
        <f>F75-F77</f>
        <v>3.2356697796123157E-2</v>
      </c>
      <c r="G78" s="891">
        <f>G75-G77</f>
        <v>7.3839290116760381E-2</v>
      </c>
      <c r="H78" s="891">
        <f>H75-H77</f>
        <v>1.0339479109375826E-2</v>
      </c>
      <c r="I78" s="891">
        <f>I75-I77</f>
        <v>0.15841250562778852</v>
      </c>
    </row>
  </sheetData>
  <sheetProtection insertRows="0" sort="0" autoFilter="0" pivotTables="0"/>
  <mergeCells count="1">
    <mergeCell ref="B9:I9"/>
  </mergeCells>
  <phoneticPr fontId="260" type="noConversion"/>
  <conditionalFormatting sqref="E7:I7">
    <cfRule type="expression" dxfId="42" priority="18">
      <formula>AND(E$5="Actuals",F$5="Forecast")</formula>
    </cfRule>
  </conditionalFormatting>
  <conditionalFormatting sqref="E11:I11">
    <cfRule type="expression" dxfId="41" priority="13">
      <formula>E$5="Forecast"</formula>
    </cfRule>
  </conditionalFormatting>
  <conditionalFormatting sqref="E16:I19">
    <cfRule type="expression" dxfId="40" priority="2">
      <formula>E$5="Forecast"</formula>
    </cfRule>
  </conditionalFormatting>
  <conditionalFormatting sqref="E23:I40">
    <cfRule type="expression" dxfId="39"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90" zoomScaleNormal="55" workbookViewId="0">
      <selection activeCell="A2" sqref="A2"/>
    </sheetView>
  </sheetViews>
  <sheetFormatPr defaultColWidth="9.23046875" defaultRowHeight="14.5"/>
  <cols>
    <col min="1" max="1" width="27" style="896" customWidth="1"/>
    <col min="2" max="2" width="51.23046875" style="896" customWidth="1"/>
    <col min="3" max="3" width="14.15234375" style="896" customWidth="1"/>
    <col min="4" max="5" width="16.23046875" style="896" customWidth="1"/>
    <col min="6" max="6" width="2.15234375" style="896" customWidth="1"/>
    <col min="7" max="7" width="76.4609375" style="896" bestFit="1" customWidth="1"/>
    <col min="8" max="8" width="15.61328125" style="896" customWidth="1"/>
    <col min="9" max="9" width="3.23046875" style="896" customWidth="1"/>
    <col min="10" max="11" width="17.4609375" style="896" customWidth="1"/>
    <col min="12" max="12" width="67" style="896" customWidth="1"/>
    <col min="13" max="14" width="2.23046875" style="896" customWidth="1"/>
    <col min="15" max="16384" width="9.23046875" style="896"/>
  </cols>
  <sheetData>
    <row r="1" spans="1:14" ht="20">
      <c r="A1" s="324" t="s">
        <v>961</v>
      </c>
      <c r="B1" s="324"/>
      <c r="C1" s="331"/>
      <c r="D1" s="331"/>
      <c r="E1" s="331"/>
      <c r="F1" s="895"/>
      <c r="G1" s="331"/>
      <c r="H1" s="331"/>
      <c r="J1" s="331"/>
      <c r="K1" s="897"/>
      <c r="L1" s="331"/>
      <c r="N1" s="898"/>
    </row>
    <row r="2" spans="1:14" ht="20">
      <c r="A2" s="331"/>
      <c r="B2" s="331"/>
      <c r="C2" s="331"/>
      <c r="D2" s="331"/>
      <c r="E2" s="331"/>
      <c r="F2" s="895"/>
      <c r="G2" s="331"/>
      <c r="H2" s="331"/>
      <c r="J2" s="331"/>
      <c r="K2" s="897"/>
      <c r="L2" s="331"/>
      <c r="N2" s="898"/>
    </row>
    <row r="3" spans="1:14" ht="20">
      <c r="A3" s="331" t="s">
        <v>962</v>
      </c>
      <c r="B3" s="331" t="str">
        <f>Licensee</f>
        <v>Cadent-WM</v>
      </c>
      <c r="C3" s="331"/>
      <c r="D3" s="331"/>
      <c r="E3" s="331"/>
      <c r="F3" s="895"/>
      <c r="G3" s="331"/>
      <c r="H3" s="331"/>
      <c r="J3" s="331"/>
      <c r="K3" s="897"/>
      <c r="L3" s="331"/>
      <c r="N3" s="898"/>
    </row>
    <row r="4" spans="1:14" ht="20">
      <c r="A4" s="331" t="s">
        <v>6</v>
      </c>
      <c r="B4" s="331" t="str">
        <f>Sector</f>
        <v>GD2</v>
      </c>
      <c r="C4" s="331"/>
      <c r="D4" s="331"/>
      <c r="E4" s="331"/>
      <c r="F4" s="895"/>
      <c r="G4" s="331"/>
      <c r="H4" s="331"/>
      <c r="J4" s="331"/>
      <c r="K4" s="897"/>
      <c r="L4" s="331"/>
      <c r="N4" s="898"/>
    </row>
    <row r="5" spans="1:14" ht="20">
      <c r="A5" s="331" t="s">
        <v>963</v>
      </c>
      <c r="B5" s="899">
        <f>INDEX(Data!$C$17:$N$17,MATCH($B$6,Data!$C$18:$N$18,0))</f>
        <v>45016</v>
      </c>
      <c r="C5" s="331"/>
      <c r="D5" s="331"/>
      <c r="E5" s="331"/>
      <c r="F5" s="895"/>
      <c r="G5" s="331"/>
      <c r="H5" s="331"/>
      <c r="J5" s="331"/>
      <c r="K5" s="897"/>
      <c r="L5" s="331"/>
      <c r="N5" s="898"/>
    </row>
    <row r="6" spans="1:14" ht="20">
      <c r="A6" s="331" t="s">
        <v>36</v>
      </c>
      <c r="B6" s="331">
        <f>Reporting_Year-1</f>
        <v>2023</v>
      </c>
      <c r="C6" s="331"/>
      <c r="D6" s="331"/>
      <c r="E6" s="331"/>
      <c r="F6" s="895"/>
      <c r="G6" s="331"/>
      <c r="H6" s="331"/>
      <c r="J6" s="331"/>
      <c r="K6" s="897"/>
      <c r="L6" s="331"/>
      <c r="N6" s="898"/>
    </row>
    <row r="7" spans="1:14" ht="28.5" customHeight="1">
      <c r="A7" s="1394" t="s">
        <v>964</v>
      </c>
      <c r="B7" s="1394"/>
      <c r="C7" s="331"/>
      <c r="D7" s="331"/>
      <c r="E7" s="331"/>
      <c r="F7" s="895"/>
      <c r="G7" s="331"/>
      <c r="H7" s="897"/>
      <c r="J7" s="331"/>
      <c r="K7" s="897"/>
      <c r="L7" s="331"/>
      <c r="N7" s="898"/>
    </row>
    <row r="8" spans="1:14" ht="86.25" customHeight="1">
      <c r="A8" s="1395" t="s">
        <v>965</v>
      </c>
      <c r="B8" s="1396"/>
      <c r="C8" s="1390" t="s">
        <v>966</v>
      </c>
      <c r="D8" s="900" t="s">
        <v>967</v>
      </c>
      <c r="E8" s="900" t="s">
        <v>968</v>
      </c>
      <c r="F8" s="901"/>
      <c r="G8" s="1399" t="s">
        <v>969</v>
      </c>
      <c r="H8" s="902" t="s">
        <v>970</v>
      </c>
      <c r="I8" s="901"/>
      <c r="J8" s="902" t="s">
        <v>971</v>
      </c>
      <c r="K8" s="902" t="s">
        <v>972</v>
      </c>
      <c r="L8" s="1390" t="s">
        <v>973</v>
      </c>
      <c r="N8" s="898"/>
    </row>
    <row r="9" spans="1:14" ht="15.65" customHeight="1">
      <c r="A9" s="1397"/>
      <c r="B9" s="1398"/>
      <c r="C9" s="1391"/>
      <c r="D9" s="903" t="s">
        <v>711</v>
      </c>
      <c r="E9" s="903" t="s">
        <v>711</v>
      </c>
      <c r="F9" s="904"/>
      <c r="G9" s="1400"/>
      <c r="H9" s="903" t="s">
        <v>974</v>
      </c>
      <c r="I9" s="904"/>
      <c r="J9" s="903" t="s">
        <v>711</v>
      </c>
      <c r="K9" s="903" t="s">
        <v>711</v>
      </c>
      <c r="L9" s="1391"/>
      <c r="N9" s="898"/>
    </row>
    <row r="10" spans="1:14" ht="15.65" customHeight="1">
      <c r="A10" s="905"/>
      <c r="B10" s="905"/>
      <c r="C10" s="905"/>
      <c r="D10" s="904"/>
      <c r="E10" s="904"/>
      <c r="F10" s="904"/>
      <c r="G10" s="906"/>
      <c r="H10" s="904"/>
      <c r="I10" s="904"/>
      <c r="J10" s="904"/>
      <c r="K10" s="904"/>
      <c r="L10" s="905"/>
      <c r="N10" s="898"/>
    </row>
    <row r="11" spans="1:14" ht="29">
      <c r="A11" s="905" t="s">
        <v>975</v>
      </c>
      <c r="B11" s="907" t="str">
        <f>IF(AND(D11="",E11=""),"No Filing Date",IF(AND(D11="",E11&lt;&gt;""),"Enter Original Filing Date",IF(AND(D11&lt;&gt;"",E11=""),"Original Filing","Re-filed")))</f>
        <v>Original Filing</v>
      </c>
      <c r="C11" s="905"/>
      <c r="D11" s="908">
        <v>45291</v>
      </c>
      <c r="E11" s="908"/>
      <c r="F11" s="904"/>
      <c r="G11" s="906"/>
      <c r="H11" s="904"/>
      <c r="I11" s="904"/>
      <c r="J11" s="909"/>
      <c r="K11" s="909"/>
      <c r="L11" s="905"/>
      <c r="N11" s="898"/>
    </row>
    <row r="12" spans="1:14" s="911" customFormat="1" ht="17.5" customHeight="1">
      <c r="A12" s="910"/>
      <c r="I12" s="904"/>
      <c r="J12" s="909"/>
      <c r="K12" s="909"/>
      <c r="N12" s="912"/>
    </row>
    <row r="13" spans="1:14" ht="15.65" customHeight="1">
      <c r="A13" s="1392" t="s">
        <v>976</v>
      </c>
      <c r="B13" s="1393"/>
      <c r="D13" s="1005">
        <v>0.19</v>
      </c>
      <c r="E13" s="1005">
        <v>0.19</v>
      </c>
      <c r="F13" s="913"/>
      <c r="G13" s="913"/>
      <c r="H13" s="1005">
        <v>0.19</v>
      </c>
      <c r="I13" s="904"/>
      <c r="J13" s="909"/>
      <c r="K13" s="909"/>
      <c r="N13" s="898"/>
    </row>
    <row r="14" spans="1:14" ht="15.65" customHeight="1">
      <c r="B14" s="915"/>
      <c r="D14" s="913"/>
      <c r="E14" s="913"/>
      <c r="F14" s="913"/>
      <c r="G14" s="913"/>
      <c r="H14" s="913"/>
      <c r="I14" s="904"/>
      <c r="J14" s="914"/>
      <c r="K14" s="916"/>
      <c r="N14" s="898"/>
    </row>
    <row r="15" spans="1:14" ht="15.65" customHeight="1">
      <c r="A15" s="917"/>
      <c r="B15" s="917"/>
      <c r="C15" s="918"/>
      <c r="D15" s="919"/>
      <c r="E15" s="920"/>
      <c r="F15" s="920"/>
      <c r="G15" s="921"/>
      <c r="H15" s="922"/>
      <c r="I15" s="904"/>
      <c r="J15" s="923"/>
      <c r="K15" s="924"/>
      <c r="L15" s="925"/>
      <c r="N15" s="898"/>
    </row>
    <row r="16" spans="1:14" ht="116">
      <c r="A16" s="926" t="s">
        <v>977</v>
      </c>
      <c r="B16" s="927"/>
      <c r="C16" s="918" t="s">
        <v>978</v>
      </c>
      <c r="D16" s="1006">
        <v>2297.3589211199996</v>
      </c>
      <c r="E16" s="928"/>
      <c r="F16" s="920"/>
      <c r="G16" s="1115"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29">
        <v>440.77839762109767</v>
      </c>
      <c r="I16" s="904"/>
      <c r="J16" s="1014">
        <f>IF(E$11&lt;&gt;"",IF(OR(B$11="No Filing Date","Enter Filing Date",E$11&lt;D$11),"Error in Filing Date",IF('R8a - Tax Reconciliation'!B$11="Original Filing",D16-H16,E16-H16)),IF(OR(B$11="No Filing Date","Enter Filing Date"),"Error in Filing Date",IF('R8a - Tax Reconciliation'!B$11="Original Filing",D16-H16,E16-H16)))</f>
        <v>1856.580523498902</v>
      </c>
      <c r="K16" s="930"/>
      <c r="L16" s="931" t="s">
        <v>1159</v>
      </c>
      <c r="N16" s="898"/>
    </row>
    <row r="17" spans="1:16" ht="145">
      <c r="A17" s="1382" t="s">
        <v>979</v>
      </c>
      <c r="B17" s="1383"/>
      <c r="C17" s="918"/>
      <c r="D17" s="920"/>
      <c r="E17" s="920"/>
      <c r="F17" s="920"/>
      <c r="G17" s="921" t="str">
        <f>IF($B$4="ESO2", $B$4&amp; " " &amp;"PCFM - see Tax Allowance scetion in 'System Operator' worksheet",  $B$4&amp; " " &amp;"PCFM - see Tax Allowance in 'Finance &amp;Tax' worksheet")</f>
        <v>GD2 PCFM - see Tax Allowance in 'Finance &amp;Tax' worksheet</v>
      </c>
      <c r="H17" s="929">
        <v>-243.6043202708812</v>
      </c>
      <c r="I17" s="904"/>
      <c r="J17" s="923"/>
      <c r="K17" s="924"/>
      <c r="L17" s="931" t="s">
        <v>1160</v>
      </c>
      <c r="N17" s="898"/>
    </row>
    <row r="18" spans="1:16" ht="15.65" customHeight="1">
      <c r="A18" s="932" t="s">
        <v>980</v>
      </c>
      <c r="B18" s="933"/>
      <c r="C18" s="918"/>
      <c r="D18" s="920"/>
      <c r="E18" s="920"/>
      <c r="F18" s="920"/>
      <c r="G18" s="921" t="str">
        <f t="shared" ref="G18:G19" si="0">IF($B$4="ESO2", $B$4&amp; " " &amp;"PCFM - see Tax Allowance in 'System Operator' worksheet",  $B$4&amp; " " &amp;"PCFM - see Tax Allowance in 'Finance &amp;Tax' worksheet")</f>
        <v>GD2 PCFM - see Tax Allowance in 'Finance &amp;Tax' worksheet</v>
      </c>
      <c r="H18" s="929">
        <v>0</v>
      </c>
      <c r="I18" s="904"/>
      <c r="J18" s="923"/>
      <c r="K18" s="924"/>
      <c r="L18" s="931">
        <v>0</v>
      </c>
      <c r="N18" s="898"/>
    </row>
    <row r="19" spans="1:16" s="918" customFormat="1">
      <c r="A19" s="932" t="s">
        <v>981</v>
      </c>
      <c r="B19" s="933"/>
      <c r="D19" s="920"/>
      <c r="E19" s="920"/>
      <c r="F19" s="920"/>
      <c r="G19" s="921" t="str">
        <f t="shared" si="0"/>
        <v>GD2 PCFM - see Tax Allowance in 'Finance &amp;Tax' worksheet</v>
      </c>
      <c r="H19" s="929">
        <v>0</v>
      </c>
      <c r="I19" s="904"/>
      <c r="J19" s="923"/>
      <c r="K19" s="924"/>
      <c r="L19" s="931">
        <v>0</v>
      </c>
      <c r="M19" s="898"/>
      <c r="N19" s="898"/>
      <c r="O19" s="898"/>
      <c r="P19" s="898"/>
    </row>
    <row r="20" spans="1:16">
      <c r="A20" s="932" t="s">
        <v>982</v>
      </c>
      <c r="B20" s="933"/>
      <c r="C20" s="918" t="s">
        <v>978</v>
      </c>
      <c r="D20" s="928">
        <v>-966.50000000000023</v>
      </c>
      <c r="E20" s="928"/>
      <c r="F20" s="920"/>
      <c r="G20" s="921"/>
      <c r="H20" s="920"/>
      <c r="I20" s="923"/>
      <c r="J20" s="923"/>
      <c r="K20" s="930"/>
      <c r="L20" s="925"/>
      <c r="N20" s="898"/>
    </row>
    <row r="21" spans="1:16">
      <c r="A21" s="932"/>
      <c r="B21" s="933"/>
      <c r="C21" s="918"/>
      <c r="D21" s="920"/>
      <c r="E21" s="920"/>
      <c r="F21" s="920"/>
      <c r="G21" s="921"/>
      <c r="H21" s="920"/>
      <c r="I21" s="923"/>
      <c r="J21" s="923"/>
      <c r="K21" s="930"/>
      <c r="L21" s="925"/>
      <c r="N21" s="898"/>
    </row>
    <row r="22" spans="1:16">
      <c r="A22" s="934" t="s">
        <v>983</v>
      </c>
      <c r="B22" s="935"/>
      <c r="C22" s="936" t="s">
        <v>978</v>
      </c>
      <c r="D22" s="1007">
        <f>SUM(D16:D20)</f>
        <v>1330.8589211199994</v>
      </c>
      <c r="E22" s="1007">
        <f>SUM(E16:E20)</f>
        <v>0</v>
      </c>
      <c r="F22" s="920"/>
      <c r="G22" s="921"/>
      <c r="H22" s="1007">
        <f>SUM(H16:H20)</f>
        <v>197.17407735021646</v>
      </c>
      <c r="I22" s="923"/>
      <c r="J22" s="1014">
        <f>IF(E$11&lt;&gt;"",IF(OR(B$11="No Filing Date","Enter Filing Date",E$11&lt;D$11),"Error in Filing Date",IF('R8a - Tax Reconciliation'!B$11="Original Filing",D22-H22,E22-H22)),IF(OR(B$11="No Filing Date","Enter Filing Date"),"Error in Filing Date",IF('R8a - Tax Reconciliation'!B$11="Original Filing",D22-H22,E22-H22)))</f>
        <v>1133.6848437697829</v>
      </c>
      <c r="K22" s="930"/>
      <c r="L22" s="925"/>
      <c r="N22" s="898"/>
    </row>
    <row r="23" spans="1:16">
      <c r="A23" s="937"/>
      <c r="B23" s="933"/>
      <c r="C23" s="918"/>
      <c r="D23" s="938"/>
      <c r="E23" s="938"/>
      <c r="F23" s="920"/>
      <c r="G23" s="921"/>
      <c r="H23" s="938"/>
      <c r="I23" s="923"/>
      <c r="J23" s="939"/>
      <c r="K23" s="940"/>
      <c r="L23" s="925"/>
      <c r="N23" s="898"/>
    </row>
    <row r="24" spans="1:16" ht="116">
      <c r="A24" s="941" t="s">
        <v>984</v>
      </c>
      <c r="B24" s="933"/>
      <c r="C24" s="918" t="s">
        <v>978</v>
      </c>
      <c r="D24" s="928">
        <v>-173.8369537361622</v>
      </c>
      <c r="E24" s="928"/>
      <c r="F24" s="920"/>
      <c r="G24" s="921" t="str">
        <f t="shared" ref="G24:G25" si="1">IF($B$4="ESO2", $B$4&amp; " " &amp;"PCFM - see Tax Allowance in 'System Operator' worksheet",  $B$4&amp; " " &amp;"PCFM - see Tax Allowance in 'Finance &amp;Tax' worksheet")</f>
        <v>GD2 PCFM - see Tax Allowance in 'Finance &amp;Tax' worksheet</v>
      </c>
      <c r="H24" s="929">
        <v>-36.849913419191907</v>
      </c>
      <c r="I24" s="923"/>
      <c r="J24" s="1014">
        <f>IF(E$11&lt;&gt;"",IF(OR(B$11="No Filing Date","Enter Filing Date",E$11&lt;D$11),"Error in Filing Date",IF('R8a - Tax Reconciliation'!B$11="Original Filing",D24-H24,E24-H24)),IF(OR(B$11="No Filing Date","Enter Filing Date"),"Error in Filing Date",IF('R8a - Tax Reconciliation'!B$11="Original Filing",D24-H24,E24-H24)))</f>
        <v>-136.98704031697031</v>
      </c>
      <c r="K24" s="930"/>
      <c r="L24" s="931" t="s">
        <v>1161</v>
      </c>
      <c r="M24" s="898"/>
      <c r="N24" s="898"/>
      <c r="O24" s="898"/>
    </row>
    <row r="25" spans="1:16">
      <c r="A25" s="941" t="s">
        <v>985</v>
      </c>
      <c r="B25" s="933"/>
      <c r="C25" s="918" t="s">
        <v>978</v>
      </c>
      <c r="D25" s="928">
        <v>-28.726347923837608</v>
      </c>
      <c r="E25" s="928"/>
      <c r="F25" s="920"/>
      <c r="G25" s="921" t="str">
        <f t="shared" si="1"/>
        <v>GD2 PCFM - see Tax Allowance in 'Finance &amp;Tax' worksheet</v>
      </c>
      <c r="H25" s="929">
        <v>-28.726347923837608</v>
      </c>
      <c r="I25" s="923"/>
      <c r="J25" s="1014">
        <f>IF(E$11&lt;&gt;"",IF(OR(B$11="No Filing Date","Enter Filing Date",E$11&lt;D$11),"Error in Filing Date",IF('R8a - Tax Reconciliation'!B$11="Original Filing",D25-H25,E25-H25)),IF(OR(B$11="No Filing Date","Enter Filing Date"),"Error in Filing Date",IF('R8a - Tax Reconciliation'!B$11="Original Filing",D25-H25,E25-H25)))</f>
        <v>0</v>
      </c>
      <c r="K25" s="930"/>
      <c r="L25" s="931">
        <v>0</v>
      </c>
      <c r="M25" s="898"/>
      <c r="N25" s="898"/>
      <c r="O25" s="898"/>
    </row>
    <row r="26" spans="1:16">
      <c r="A26" s="1382" t="s">
        <v>986</v>
      </c>
      <c r="B26" s="1383"/>
      <c r="C26" s="918" t="s">
        <v>978</v>
      </c>
      <c r="D26" s="928">
        <v>0</v>
      </c>
      <c r="E26" s="928"/>
      <c r="F26" s="920"/>
      <c r="G26" s="921"/>
      <c r="H26" s="920"/>
      <c r="I26" s="923"/>
      <c r="J26" s="923"/>
      <c r="K26" s="930"/>
      <c r="L26" s="925"/>
      <c r="M26" s="898"/>
      <c r="N26" s="898"/>
      <c r="O26" s="898"/>
    </row>
    <row r="27" spans="1:16">
      <c r="A27" s="1382" t="s">
        <v>987</v>
      </c>
      <c r="B27" s="1383"/>
      <c r="C27" s="918" t="s">
        <v>978</v>
      </c>
      <c r="D27" s="928">
        <v>2.7</v>
      </c>
      <c r="E27" s="928"/>
      <c r="F27" s="920"/>
      <c r="G27" s="921"/>
      <c r="H27" s="920"/>
      <c r="I27" s="923"/>
      <c r="J27" s="923"/>
      <c r="K27" s="930"/>
      <c r="L27" s="925"/>
      <c r="M27" s="898"/>
      <c r="N27" s="898"/>
      <c r="O27" s="898"/>
    </row>
    <row r="28" spans="1:16">
      <c r="A28" s="932" t="s">
        <v>988</v>
      </c>
      <c r="B28" s="933"/>
      <c r="C28" s="918" t="s">
        <v>978</v>
      </c>
      <c r="D28" s="928">
        <v>-390.94200000000001</v>
      </c>
      <c r="E28" s="928"/>
      <c r="F28" s="920"/>
      <c r="G28" s="921"/>
      <c r="H28" s="920"/>
      <c r="I28" s="923"/>
      <c r="J28" s="923"/>
      <c r="K28" s="930"/>
      <c r="L28" s="925"/>
      <c r="M28" s="898"/>
      <c r="N28" s="898"/>
      <c r="O28" s="898"/>
    </row>
    <row r="29" spans="1:16">
      <c r="A29" s="932" t="s">
        <v>989</v>
      </c>
      <c r="B29" s="933"/>
      <c r="C29" s="918" t="s">
        <v>978</v>
      </c>
      <c r="D29" s="928">
        <v>-19.358000000000001</v>
      </c>
      <c r="E29" s="928"/>
      <c r="F29" s="920"/>
      <c r="G29" s="921"/>
      <c r="H29" s="920"/>
      <c r="I29" s="923"/>
      <c r="J29" s="923"/>
      <c r="K29" s="930"/>
      <c r="L29" s="925"/>
      <c r="M29" s="898"/>
      <c r="N29" s="898"/>
      <c r="O29" s="898"/>
    </row>
    <row r="30" spans="1:16">
      <c r="A30" s="1228" t="s">
        <v>990</v>
      </c>
      <c r="B30" s="933"/>
      <c r="C30" s="918"/>
      <c r="D30" s="919"/>
      <c r="E30" s="919"/>
      <c r="F30" s="920"/>
      <c r="G30" s="921"/>
      <c r="H30" s="920"/>
      <c r="I30" s="923"/>
      <c r="J30" s="923"/>
      <c r="K30" s="930"/>
      <c r="L30" s="925"/>
      <c r="M30" s="898"/>
      <c r="N30" s="898"/>
      <c r="O30" s="898"/>
    </row>
    <row r="31" spans="1:16">
      <c r="A31" s="942" t="s">
        <v>991</v>
      </c>
      <c r="B31" s="935"/>
      <c r="C31" s="936" t="s">
        <v>978</v>
      </c>
      <c r="D31" s="1007">
        <f>SUM(D22:D30)</f>
        <v>720.69561945999953</v>
      </c>
      <c r="E31" s="1007">
        <f>SUM(E22:E30)</f>
        <v>0</v>
      </c>
      <c r="F31" s="920"/>
      <c r="G31" s="943" t="s">
        <v>992</v>
      </c>
      <c r="H31" s="1007">
        <f>SUM(H22:H30)</f>
        <v>131.59781600718694</v>
      </c>
      <c r="I31" s="923"/>
      <c r="J31" s="1014">
        <f>IF(E$11&lt;&gt;"",IF(OR(B$11="No Filing Date","Enter Filing Date",E$11&lt;D$11),"Error in Filing Date",IF('R8a - Tax Reconciliation'!B$11="Original Filing",D31-H31,E31-H31)),IF(OR(B$11="No Filing Date","Enter Filing Date"),"Error in Filing Date",IF('R8a - Tax Reconciliation'!B$11="Original Filing",D31-H31,E31-H31)))</f>
        <v>589.09780345281263</v>
      </c>
      <c r="K31" s="930" t="str">
        <f>IF(OR(J31&gt;=Data!$C$10,J31&lt;=-Data!$C$10), "Material", "Immaterial")</f>
        <v>Material</v>
      </c>
      <c r="L31" s="931">
        <v>0</v>
      </c>
      <c r="N31" s="898"/>
    </row>
    <row r="32" spans="1:16">
      <c r="A32" s="944"/>
      <c r="B32" s="917"/>
      <c r="C32" s="918"/>
      <c r="D32" s="923"/>
      <c r="E32" s="923"/>
      <c r="F32" s="920"/>
      <c r="G32" s="921"/>
      <c r="I32" s="923"/>
      <c r="J32" s="939"/>
      <c r="K32" s="940"/>
      <c r="L32" s="925"/>
      <c r="M32" s="945"/>
      <c r="N32" s="945"/>
      <c r="O32" s="945"/>
    </row>
    <row r="33" spans="1:16">
      <c r="A33" s="946" t="s">
        <v>993</v>
      </c>
      <c r="B33" s="927"/>
      <c r="C33" s="918"/>
      <c r="D33" s="919"/>
      <c r="E33" s="919"/>
      <c r="F33" s="920"/>
      <c r="G33" s="921"/>
      <c r="H33" s="920"/>
      <c r="I33" s="923"/>
      <c r="J33" s="923"/>
      <c r="K33" s="930"/>
      <c r="L33" s="925"/>
      <c r="M33" s="898"/>
      <c r="N33" s="898"/>
      <c r="O33" s="898"/>
    </row>
    <row r="34" spans="1:16">
      <c r="A34" s="932"/>
      <c r="B34" s="933"/>
      <c r="C34" s="918"/>
      <c r="D34" s="919"/>
      <c r="E34" s="919"/>
      <c r="F34" s="920"/>
      <c r="G34" s="921"/>
      <c r="H34" s="920"/>
      <c r="I34" s="923"/>
      <c r="J34" s="923"/>
      <c r="K34" s="930"/>
      <c r="L34" s="925"/>
      <c r="M34" s="898"/>
      <c r="N34" s="898"/>
      <c r="O34" s="898"/>
    </row>
    <row r="35" spans="1:16">
      <c r="A35" s="1380" t="s">
        <v>994</v>
      </c>
      <c r="B35" s="1381"/>
      <c r="D35" s="947"/>
      <c r="E35" s="947"/>
      <c r="F35" s="947"/>
      <c r="G35" s="948"/>
      <c r="H35" s="947"/>
      <c r="I35" s="947"/>
      <c r="J35" s="947"/>
      <c r="K35" s="948"/>
      <c r="L35" s="949"/>
      <c r="M35" s="936"/>
      <c r="N35" s="936"/>
      <c r="O35" s="936"/>
      <c r="P35" s="936"/>
    </row>
    <row r="36" spans="1:16">
      <c r="A36" s="1382" t="s">
        <v>990</v>
      </c>
      <c r="B36" s="1383"/>
      <c r="C36" s="918" t="s">
        <v>978</v>
      </c>
      <c r="D36" s="928"/>
      <c r="E36" s="928"/>
      <c r="F36" s="920"/>
      <c r="G36" s="921"/>
      <c r="H36" s="920"/>
      <c r="I36" s="923"/>
      <c r="J36" s="920"/>
      <c r="K36" s="921"/>
      <c r="L36" s="920"/>
      <c r="M36" s="936"/>
      <c r="N36" s="936"/>
      <c r="O36" s="936"/>
      <c r="P36" s="936"/>
    </row>
    <row r="37" spans="1:16">
      <c r="A37" s="950"/>
      <c r="B37" s="951"/>
      <c r="D37" s="947"/>
      <c r="E37" s="947"/>
      <c r="F37" s="947"/>
      <c r="I37" s="947"/>
      <c r="K37" s="948"/>
      <c r="L37" s="920"/>
      <c r="M37" s="936"/>
      <c r="N37" s="936"/>
      <c r="O37" s="936"/>
      <c r="P37" s="936"/>
    </row>
    <row r="38" spans="1:16" s="918" customFormat="1">
      <c r="A38" s="1380" t="s">
        <v>995</v>
      </c>
      <c r="B38" s="1381"/>
      <c r="C38" s="896"/>
      <c r="D38" s="947"/>
      <c r="E38" s="947"/>
      <c r="F38" s="947"/>
      <c r="G38" s="948"/>
      <c r="H38" s="947"/>
      <c r="I38" s="947"/>
      <c r="J38" s="920"/>
      <c r="K38" s="921"/>
      <c r="L38" s="920"/>
      <c r="N38" s="936"/>
    </row>
    <row r="39" spans="1:16" s="918" customFormat="1">
      <c r="A39" s="1382" t="s">
        <v>990</v>
      </c>
      <c r="B39" s="1383"/>
      <c r="C39" s="918" t="s">
        <v>978</v>
      </c>
      <c r="D39" s="928"/>
      <c r="E39" s="928"/>
      <c r="F39" s="920"/>
      <c r="G39" s="921"/>
      <c r="H39" s="920"/>
      <c r="I39" s="923"/>
      <c r="J39" s="920"/>
      <c r="K39" s="921"/>
      <c r="L39" s="920"/>
      <c r="N39" s="936"/>
    </row>
    <row r="40" spans="1:16">
      <c r="A40" s="950"/>
      <c r="B40" s="952"/>
      <c r="D40" s="947"/>
      <c r="E40" s="947"/>
      <c r="F40" s="947"/>
      <c r="G40" s="948"/>
      <c r="H40" s="947"/>
      <c r="I40" s="947"/>
      <c r="J40" s="920"/>
      <c r="K40" s="921"/>
      <c r="L40" s="920"/>
      <c r="M40" s="936"/>
      <c r="N40" s="936"/>
      <c r="O40" s="936"/>
      <c r="P40" s="936"/>
    </row>
    <row r="41" spans="1:16">
      <c r="A41" s="1380" t="s">
        <v>996</v>
      </c>
      <c r="B41" s="1381"/>
      <c r="D41" s="947"/>
      <c r="E41" s="947"/>
      <c r="F41" s="947"/>
      <c r="G41" s="948"/>
      <c r="H41" s="947"/>
      <c r="I41" s="947"/>
      <c r="J41" s="920"/>
      <c r="K41" s="921"/>
      <c r="L41" s="920"/>
      <c r="M41" s="936"/>
      <c r="N41" s="936"/>
      <c r="O41" s="936"/>
      <c r="P41" s="936"/>
    </row>
    <row r="42" spans="1:16" s="918" customFormat="1">
      <c r="A42" s="1384" t="s">
        <v>990</v>
      </c>
      <c r="B42" s="1385"/>
      <c r="C42" s="918" t="s">
        <v>978</v>
      </c>
      <c r="D42" s="928"/>
      <c r="E42" s="928"/>
      <c r="F42" s="920"/>
      <c r="G42" s="921"/>
      <c r="H42" s="920"/>
      <c r="I42" s="923"/>
      <c r="J42" s="920"/>
      <c r="K42" s="921"/>
      <c r="L42" s="920"/>
      <c r="N42" s="936"/>
    </row>
    <row r="43" spans="1:16" s="918" customFormat="1">
      <c r="A43" s="917"/>
      <c r="B43" s="917"/>
      <c r="D43" s="920"/>
      <c r="E43" s="920"/>
      <c r="F43" s="920"/>
      <c r="G43" s="921"/>
      <c r="H43" s="920"/>
      <c r="I43" s="923"/>
      <c r="J43" s="923"/>
      <c r="K43" s="930"/>
      <c r="L43" s="925"/>
      <c r="M43" s="898"/>
      <c r="N43" s="898"/>
      <c r="O43" s="898"/>
      <c r="P43" s="898"/>
    </row>
    <row r="44" spans="1:16" s="918" customFormat="1">
      <c r="A44" s="942" t="s">
        <v>997</v>
      </c>
      <c r="B44" s="935"/>
      <c r="C44" s="936" t="s">
        <v>978</v>
      </c>
      <c r="D44" s="1007">
        <f>SUM(D31:D43)</f>
        <v>720.69561945999953</v>
      </c>
      <c r="E44" s="1007">
        <f>SUM(E31:E43)</f>
        <v>0</v>
      </c>
      <c r="F44" s="920"/>
      <c r="G44" s="921"/>
      <c r="H44" s="1007">
        <f>SUM(H31:H43)</f>
        <v>131.59781600718694</v>
      </c>
      <c r="I44" s="923"/>
      <c r="J44" s="1014">
        <f>IF(E$11&lt;&gt;"",IF(OR(B$11="No Filing Date","Enter Filing Date",E$11&lt;D$11),"Error in Filing Date",IF('R8a - Tax Reconciliation'!B$11="Original Filing",D44-H44,E44-H44)),IF(OR(B$11="No Filing Date","Enter Filing Date"),"Error in Filing Date",IF('R8a - Tax Reconciliation'!B$11="Original Filing",D44-H44,E44-H44)))</f>
        <v>589.09780345281263</v>
      </c>
      <c r="K44" s="930" t="str">
        <f>IF(OR(J44&gt;=Data!$C$10,J44&lt;=-Data!$C$10), "Material", "Immaterial")</f>
        <v>Material</v>
      </c>
      <c r="L44" s="931">
        <v>0</v>
      </c>
      <c r="M44" s="898"/>
      <c r="N44" s="898"/>
      <c r="O44" s="898"/>
      <c r="P44" s="898"/>
    </row>
    <row r="45" spans="1:16" s="918" customFormat="1">
      <c r="A45" s="953"/>
      <c r="B45" s="953"/>
      <c r="C45" s="896"/>
      <c r="D45" s="954"/>
      <c r="E45" s="954"/>
      <c r="F45" s="954"/>
      <c r="G45" s="955"/>
      <c r="H45" s="954"/>
      <c r="I45" s="947"/>
      <c r="J45" s="947"/>
      <c r="K45" s="948"/>
      <c r="L45" s="949"/>
      <c r="M45" s="898"/>
      <c r="N45" s="898"/>
      <c r="O45" s="898"/>
      <c r="P45" s="898"/>
    </row>
    <row r="46" spans="1:16" s="918" customFormat="1">
      <c r="A46" s="956" t="s">
        <v>998</v>
      </c>
      <c r="B46" s="957"/>
      <c r="C46" s="896"/>
      <c r="D46" s="954"/>
      <c r="E46" s="954"/>
      <c r="F46" s="954"/>
      <c r="G46" s="955"/>
      <c r="H46" s="954"/>
      <c r="I46" s="947"/>
      <c r="J46" s="947"/>
      <c r="K46" s="948"/>
      <c r="L46" s="949"/>
      <c r="M46" s="898"/>
      <c r="N46" s="898"/>
      <c r="O46" s="898"/>
      <c r="P46" s="898"/>
    </row>
    <row r="47" spans="1:16" s="918" customFormat="1">
      <c r="A47" s="958"/>
      <c r="B47" s="959"/>
      <c r="C47" s="896"/>
      <c r="D47" s="954"/>
      <c r="E47" s="954"/>
      <c r="F47" s="954"/>
      <c r="G47" s="955"/>
      <c r="H47" s="954"/>
      <c r="I47" s="947"/>
      <c r="J47" s="947"/>
      <c r="K47" s="948"/>
      <c r="L47" s="949"/>
      <c r="M47" s="898"/>
      <c r="N47" s="898"/>
      <c r="O47" s="898"/>
      <c r="P47" s="898"/>
    </row>
    <row r="48" spans="1:16" s="918" customFormat="1">
      <c r="A48" s="960" t="s">
        <v>999</v>
      </c>
      <c r="B48" s="959"/>
      <c r="C48" s="896"/>
      <c r="D48" s="954"/>
      <c r="E48" s="954"/>
      <c r="F48" s="954"/>
      <c r="G48" s="955"/>
      <c r="H48" s="954"/>
      <c r="I48" s="947"/>
      <c r="J48" s="947"/>
      <c r="K48" s="948"/>
      <c r="L48" s="949"/>
      <c r="M48" s="898"/>
      <c r="N48" s="898"/>
      <c r="O48" s="898"/>
      <c r="P48" s="898"/>
    </row>
    <row r="49" spans="1:22" s="918" customFormat="1">
      <c r="A49" s="932" t="s">
        <v>1000</v>
      </c>
      <c r="B49" s="933"/>
      <c r="C49" s="918" t="s">
        <v>978</v>
      </c>
      <c r="D49" s="928">
        <v>0</v>
      </c>
      <c r="E49" s="928"/>
      <c r="F49" s="920"/>
      <c r="G49" s="921"/>
      <c r="H49" s="928"/>
      <c r="I49" s="923"/>
      <c r="J49" s="1014">
        <f>IF(E$11&lt;&gt;"",IF(OR(B$11="No Filing Date","Enter Filing Date",E$11&lt;D$11),"Error in Filing Date",IF('R8a - Tax Reconciliation'!B$11="Original Filing",D49-H49,E49-H49)),IF(OR(B$11="No Filing Date","Enter Filing Date"),"Error in Filing Date",IF('R8a - Tax Reconciliation'!B$11="Original Filing",D49-H49,E49-H49)))</f>
        <v>0</v>
      </c>
      <c r="K49" s="930" t="str">
        <f>IF(OR(J49&gt;=Data!$C$10,J49&lt;=-Data!$C$10), "Material", "Immaterial")</f>
        <v>Immaterial</v>
      </c>
      <c r="L49" s="931">
        <v>0</v>
      </c>
      <c r="N49" s="936"/>
    </row>
    <row r="50" spans="1:22" s="918" customFormat="1" ht="58">
      <c r="A50" s="932" t="s">
        <v>1001</v>
      </c>
      <c r="B50" s="933"/>
      <c r="C50" s="918" t="s">
        <v>978</v>
      </c>
      <c r="D50" s="928">
        <v>-37.839587000000002</v>
      </c>
      <c r="E50" s="928"/>
      <c r="F50" s="920"/>
      <c r="G50" s="921"/>
      <c r="H50" s="928"/>
      <c r="I50" s="923"/>
      <c r="J50" s="1014">
        <f>IF(E$11&lt;&gt;"",IF(OR(B$11="No Filing Date","Enter Filing Date",E$11&lt;D$11),"Error in Filing Date",IF('R8a - Tax Reconciliation'!B$11="Original Filing",D50-H50,E50-H50)),IF(OR(B$11="No Filing Date","Enter Filing Date"),"Error in Filing Date",IF('R8a - Tax Reconciliation'!B$11="Original Filing",D50-H50,E50-H50)))</f>
        <v>-37.839587000000002</v>
      </c>
      <c r="K50" s="930" t="str">
        <f>IF(OR(J50&gt;=Data!$C$10,J50&lt;=-Data!$C$10), "Material", "Immaterial")</f>
        <v>Material</v>
      </c>
      <c r="L50" s="931" t="s">
        <v>1162</v>
      </c>
      <c r="M50" s="898"/>
      <c r="N50" s="898"/>
      <c r="O50" s="898"/>
      <c r="P50" s="898"/>
    </row>
    <row r="51" spans="1:22" s="918" customFormat="1">
      <c r="A51" s="932" t="s">
        <v>1002</v>
      </c>
      <c r="B51" s="933"/>
      <c r="C51" s="918" t="s">
        <v>978</v>
      </c>
      <c r="D51" s="928">
        <v>390.890717</v>
      </c>
      <c r="E51" s="928"/>
      <c r="F51" s="920"/>
      <c r="G51" s="921"/>
      <c r="H51" s="928"/>
      <c r="I51" s="923"/>
      <c r="J51" s="1014">
        <f>IF(E$11&lt;&gt;"",IF(OR(B$11="No Filing Date","Enter Filing Date",E$11&lt;D$11),"Error in Filing Date",IF('R8a - Tax Reconciliation'!B$11="Original Filing",D51-H51,E51-H51)),IF(OR(B$11="No Filing Date","Enter Filing Date"),"Error in Filing Date",IF('R8a - Tax Reconciliation'!B$11="Original Filing",D51-H51,E51-H51)))</f>
        <v>390.890717</v>
      </c>
      <c r="K51" s="930" t="str">
        <f>IF(OR(J51&gt;=Data!$C$10,J51&lt;=-Data!$C$10), "Material", "Immaterial")</f>
        <v>Material</v>
      </c>
      <c r="L51" s="931" t="s">
        <v>1163</v>
      </c>
      <c r="N51" s="936"/>
    </row>
    <row r="52" spans="1:22">
      <c r="A52" s="932" t="s">
        <v>989</v>
      </c>
      <c r="B52" s="933"/>
      <c r="C52" s="918" t="s">
        <v>978</v>
      </c>
      <c r="D52" s="928">
        <v>19.358398000000001</v>
      </c>
      <c r="E52" s="928"/>
      <c r="F52" s="920"/>
      <c r="G52" s="921"/>
      <c r="H52" s="928"/>
      <c r="I52" s="923"/>
      <c r="J52" s="1014">
        <f>IF(E$11&lt;&gt;"",IF(OR(B$11="No Filing Date","Enter Filing Date",E$11&lt;D$11),"Error in Filing Date",IF('R8a - Tax Reconciliation'!B$11="Original Filing",D52-H52,E52-H52)),IF(OR(B$11="No Filing Date","Enter Filing Date"),"Error in Filing Date",IF('R8a - Tax Reconciliation'!B$11="Original Filing",D52-H52,E52-H52)))</f>
        <v>19.358398000000001</v>
      </c>
      <c r="K52" s="930" t="str">
        <f>IF(OR(J52&gt;=Data!$C$10,J52&lt;=-Data!$C$10), "Material", "Immaterial")</f>
        <v>Material</v>
      </c>
      <c r="L52" s="931" t="s">
        <v>1164</v>
      </c>
      <c r="M52" s="936"/>
      <c r="N52" s="936"/>
      <c r="O52" s="936"/>
      <c r="P52" s="936"/>
    </row>
    <row r="53" spans="1:22">
      <c r="A53" s="961" t="s">
        <v>1003</v>
      </c>
      <c r="B53" s="962"/>
      <c r="C53" s="918" t="s">
        <v>978</v>
      </c>
      <c r="D53" s="928">
        <v>2.7255020000000001</v>
      </c>
      <c r="E53" s="928"/>
      <c r="F53" s="920"/>
      <c r="G53" s="921"/>
      <c r="H53" s="928"/>
      <c r="I53" s="923"/>
      <c r="J53" s="1014">
        <f>IF(E$11&lt;&gt;"",IF(OR(B$11="No Filing Date","Enter Filing Date",E$11&lt;D$11),"Error in Filing Date",IF('R8a - Tax Reconciliation'!B$11="Original Filing",D53-H53,E53-H53)),IF(OR(B$11="No Filing Date","Enter Filing Date"),"Error in Filing Date",IF('R8a - Tax Reconciliation'!B$11="Original Filing",D53-H53,E53-H53)))</f>
        <v>2.7255020000000001</v>
      </c>
      <c r="K53" s="930" t="str">
        <f>IF(OR(J53&gt;=Data!$C$10,J53&lt;=-Data!$C$10), "Material", "Immaterial")</f>
        <v>Immaterial</v>
      </c>
      <c r="L53" s="931">
        <v>0</v>
      </c>
      <c r="N53" s="898"/>
    </row>
    <row r="54" spans="1:22">
      <c r="A54" s="1382" t="s">
        <v>1004</v>
      </c>
      <c r="B54" s="1383"/>
      <c r="C54" s="918" t="s">
        <v>978</v>
      </c>
      <c r="D54" s="928">
        <v>0</v>
      </c>
      <c r="E54" s="928"/>
      <c r="F54" s="963"/>
      <c r="G54" s="921"/>
      <c r="H54" s="928"/>
      <c r="I54" s="964"/>
      <c r="J54" s="1014">
        <f>IF(E$11&lt;&gt;"",IF(OR(B$11="No Filing Date","Enter Filing Date",E$11&lt;D$11),"Error in Filing Date",IF('R8a - Tax Reconciliation'!B$11="Original Filing",D54-H54,E54-H54)),IF(OR(B$11="No Filing Date","Enter Filing Date"),"Error in Filing Date",IF('R8a - Tax Reconciliation'!B$11="Original Filing",D54-H54,E54-H54)))</f>
        <v>0</v>
      </c>
      <c r="K54" s="930" t="str">
        <f>IF(OR(J54&gt;=Data!$C$10,J54&lt;=-Data!$C$10), "Material", "Immaterial")</f>
        <v>Immaterial</v>
      </c>
      <c r="L54" s="931">
        <v>0</v>
      </c>
      <c r="N54" s="898"/>
    </row>
    <row r="55" spans="1:22" ht="58">
      <c r="A55" s="965" t="s">
        <v>1005</v>
      </c>
      <c r="B55" s="962"/>
      <c r="C55" s="918" t="s">
        <v>978</v>
      </c>
      <c r="D55" s="928">
        <v>-113.645293</v>
      </c>
      <c r="E55" s="928"/>
      <c r="F55" s="923"/>
      <c r="G55" s="921" t="str">
        <f t="shared" ref="G55" si="2">IF($B$4="ESO2", $B$4&amp; " " &amp;"PCFM - see Tax Allowance in 'System Operator' worksheet",  $B$4&amp; " " &amp;"PCFM - see Tax Allowance in 'Finance &amp;Tax' worksheet")</f>
        <v>GD2 PCFM - see Tax Allowance in 'Finance &amp;Tax' worksheet</v>
      </c>
      <c r="H55" s="929">
        <v>-13</v>
      </c>
      <c r="I55" s="964"/>
      <c r="J55" s="1014">
        <f>IF(E$11&lt;&gt;"",IF(OR(B$11="No Filing Date","Enter Filing Date",E$11&lt;D$11),"Error in Filing Date",IF('R8a - Tax Reconciliation'!B$11="Original Filing",D55-H55,E55-H55)),IF(OR(B$11="No Filing Date","Enter Filing Date"),"Error in Filing Date",IF('R8a - Tax Reconciliation'!B$11="Original Filing",D55-H55,E55-H55)))</f>
        <v>-100.645293</v>
      </c>
      <c r="K55" s="930" t="str">
        <f>IF(OR(J55&gt;=Data!$C$10,J55&lt;=-Data!$C$10), "Material", "Immaterial")</f>
        <v>Material</v>
      </c>
      <c r="L55" s="931" t="s">
        <v>1165</v>
      </c>
      <c r="N55" s="898"/>
    </row>
    <row r="56" spans="1:22">
      <c r="A56" s="932" t="s">
        <v>1006</v>
      </c>
      <c r="B56" s="933"/>
      <c r="C56" s="918" t="s">
        <v>978</v>
      </c>
      <c r="D56" s="928">
        <v>0</v>
      </c>
      <c r="E56" s="928"/>
      <c r="F56" s="920"/>
      <c r="G56" s="921"/>
      <c r="H56" s="928"/>
      <c r="I56" s="923"/>
      <c r="J56" s="1014">
        <f>IF(E$11&lt;&gt;"",IF(OR(B$11="No Filing Date","Enter Filing Date",E$11&lt;D$11),"Error in Filing Date",IF('R8a - Tax Reconciliation'!B$11="Original Filing",D56-H56,E56-H56)),IF(OR(B$11="No Filing Date","Enter Filing Date"),"Error in Filing Date",IF('R8a - Tax Reconciliation'!B$11="Original Filing",D56-H56,E56-H56)))</f>
        <v>0</v>
      </c>
      <c r="K56" s="930" t="str">
        <f>IF(OR(J56&gt;=Data!$C$10,J56&lt;=-Data!$C$10), "Material", "Immaterial")</f>
        <v>Immaterial</v>
      </c>
      <c r="L56" s="931">
        <v>0</v>
      </c>
      <c r="M56" s="936"/>
      <c r="N56" s="936"/>
      <c r="O56" s="936"/>
      <c r="P56" s="936"/>
    </row>
    <row r="57" spans="1:22">
      <c r="A57" s="932" t="s">
        <v>1007</v>
      </c>
      <c r="B57" s="933"/>
      <c r="C57" s="918" t="s">
        <v>978</v>
      </c>
      <c r="D57" s="928">
        <v>0</v>
      </c>
      <c r="E57" s="928"/>
      <c r="F57" s="920"/>
      <c r="G57" s="921"/>
      <c r="H57" s="928"/>
      <c r="I57" s="923"/>
      <c r="J57" s="1014">
        <f>IF(E$11&lt;&gt;"",IF(OR(B$11="No Filing Date","Enter Filing Date",E$11&lt;D$11),"Error in Filing Date",IF('R8a - Tax Reconciliation'!B$11="Original Filing",D57-H57,E57-H57)),IF(OR(B$11="No Filing Date","Enter Filing Date"),"Error in Filing Date",IF('R8a - Tax Reconciliation'!B$11="Original Filing",D57-H57,E57-H57)))</f>
        <v>0</v>
      </c>
      <c r="K57" s="930" t="str">
        <f>IF(OR(J57&gt;=Data!$C$10,J57&lt;=-Data!$C$10), "Material", "Immaterial")</f>
        <v>Immaterial</v>
      </c>
      <c r="L57" s="931">
        <v>0</v>
      </c>
      <c r="M57" s="898"/>
      <c r="N57" s="898"/>
      <c r="O57" s="898"/>
      <c r="P57" s="898"/>
      <c r="Q57" s="918"/>
      <c r="R57" s="918"/>
      <c r="S57" s="918"/>
      <c r="T57" s="918"/>
      <c r="U57" s="918"/>
      <c r="V57" s="918"/>
    </row>
    <row r="58" spans="1:22">
      <c r="A58" s="932" t="s">
        <v>1008</v>
      </c>
      <c r="B58" s="933"/>
      <c r="C58" s="918" t="s">
        <v>978</v>
      </c>
      <c r="D58" s="928">
        <v>0</v>
      </c>
      <c r="E58" s="928"/>
      <c r="F58" s="920"/>
      <c r="G58" s="921"/>
      <c r="H58" s="928"/>
      <c r="I58" s="923"/>
      <c r="J58" s="1014">
        <f>IF(E$11&lt;&gt;"",IF(OR(B$11="No Filing Date","Enter Filing Date",E$11&lt;D$11),"Error in Filing Date",IF('R8a - Tax Reconciliation'!B$11="Original Filing",D58-H58,E58-H58)),IF(OR(B$11="No Filing Date","Enter Filing Date"),"Error in Filing Date",IF('R8a - Tax Reconciliation'!B$11="Original Filing",D58-H58,E58-H58)))</f>
        <v>0</v>
      </c>
      <c r="K58" s="930" t="str">
        <f>IF(OR(J58&gt;=Data!$C$10,J58&lt;=-Data!$C$10), "Material", "Immaterial")</f>
        <v>Immaterial</v>
      </c>
      <c r="L58" s="931">
        <v>0</v>
      </c>
      <c r="M58" s="898"/>
      <c r="N58" s="898"/>
      <c r="O58" s="898"/>
      <c r="P58" s="898"/>
      <c r="Q58" s="918"/>
      <c r="R58" s="918"/>
      <c r="S58" s="918"/>
      <c r="T58" s="918"/>
      <c r="U58" s="918"/>
      <c r="V58" s="918"/>
    </row>
    <row r="59" spans="1:22">
      <c r="A59" s="932" t="s">
        <v>1009</v>
      </c>
      <c r="B59" s="933"/>
      <c r="C59" s="918" t="s">
        <v>978</v>
      </c>
      <c r="D59" s="928">
        <v>0</v>
      </c>
      <c r="E59" s="928"/>
      <c r="F59" s="920"/>
      <c r="G59" s="921"/>
      <c r="H59" s="928"/>
      <c r="I59" s="923"/>
      <c r="J59" s="1014">
        <f>IF(E$11&lt;&gt;"",IF(OR(B$11="No Filing Date","Enter Filing Date",E$11&lt;D$11),"Error in Filing Date",IF('R8a - Tax Reconciliation'!B$11="Original Filing",D59-H59,E59-H59)),IF(OR(B$11="No Filing Date","Enter Filing Date"),"Error in Filing Date",IF('R8a - Tax Reconciliation'!B$11="Original Filing",D59-H59,E59-H59)))</f>
        <v>0</v>
      </c>
      <c r="K59" s="930" t="str">
        <f>IF(OR(J59&gt;=Data!$C$10,J59&lt;=-Data!$C$10), "Material", "Immaterial")</f>
        <v>Immaterial</v>
      </c>
      <c r="L59" s="931">
        <v>0</v>
      </c>
      <c r="N59" s="898"/>
    </row>
    <row r="60" spans="1:22">
      <c r="A60" s="932" t="s">
        <v>1010</v>
      </c>
      <c r="B60" s="933"/>
      <c r="C60" s="918" t="s">
        <v>978</v>
      </c>
      <c r="D60" s="928">
        <v>-2.683964</v>
      </c>
      <c r="E60" s="928"/>
      <c r="F60" s="920"/>
      <c r="G60" s="921"/>
      <c r="H60" s="928"/>
      <c r="I60" s="923"/>
      <c r="J60" s="1014">
        <f>IF(E$11&lt;&gt;"",IF(OR(B$11="No Filing Date","Enter Filing Date",E$11&lt;D$11),"Error in Filing Date",IF('R8a - Tax Reconciliation'!B$11="Original Filing",D60-H60,E60-H60)),IF(OR(B$11="No Filing Date","Enter Filing Date"),"Error in Filing Date",IF('R8a - Tax Reconciliation'!B$11="Original Filing",D60-H60,E60-H60)))</f>
        <v>-2.683964</v>
      </c>
      <c r="K60" s="930" t="str">
        <f>IF(OR(J60&gt;=Data!$C$10,J60&lt;=-Data!$C$10), "Material", "Immaterial")</f>
        <v>Immaterial</v>
      </c>
      <c r="L60" s="931">
        <v>0</v>
      </c>
      <c r="N60" s="898"/>
    </row>
    <row r="61" spans="1:22" ht="58">
      <c r="A61" s="932" t="s">
        <v>1168</v>
      </c>
      <c r="B61" s="933"/>
      <c r="C61" s="918" t="s">
        <v>978</v>
      </c>
      <c r="D61" s="928">
        <v>-8.1311440000000008</v>
      </c>
      <c r="E61" s="928"/>
      <c r="F61" s="920"/>
      <c r="G61" s="921"/>
      <c r="H61" s="928"/>
      <c r="I61" s="923"/>
      <c r="J61" s="1014">
        <f>IF(E$11&lt;&gt;"",IF(OR(B$11="No Filing Date","Enter Filing Date",E$11&lt;D$11),"Error in Filing Date",IF('R8a - Tax Reconciliation'!B$11="Original Filing",D61-H61,E61-H61)),IF(OR(B$11="No Filing Date","Enter Filing Date"),"Error in Filing Date",IF('R8a - Tax Reconciliation'!B$11="Original Filing",D61-H61,E61-H61)))</f>
        <v>-8.1311440000000008</v>
      </c>
      <c r="K61" s="930" t="str">
        <f>IF(OR(J61&gt;=Data!$C$10,J61&lt;=-Data!$C$10), "Material", "Immaterial")</f>
        <v>Material</v>
      </c>
      <c r="L61" s="931" t="s">
        <v>1166</v>
      </c>
      <c r="N61" s="898"/>
    </row>
    <row r="62" spans="1:22">
      <c r="A62" s="932" t="s">
        <v>1169</v>
      </c>
      <c r="B62" s="933"/>
      <c r="C62" s="918" t="s">
        <v>978</v>
      </c>
      <c r="D62" s="928">
        <v>-3.1049520000000008</v>
      </c>
      <c r="E62" s="928"/>
      <c r="F62" s="920"/>
      <c r="G62" s="921"/>
      <c r="H62" s="928"/>
      <c r="I62" s="923"/>
      <c r="J62" s="1014">
        <f>IF(E$11&lt;&gt;"",IF(OR(B$11="No Filing Date","Enter Filing Date",E$11&lt;D$11),"Error in Filing Date",IF('R8a - Tax Reconciliation'!B$11="Original Filing",D62-H62,E62-H62)),IF(OR(B$11="No Filing Date","Enter Filing Date"),"Error in Filing Date",IF('R8a - Tax Reconciliation'!B$11="Original Filing",D62-H62,E62-H62)))</f>
        <v>-3.1049520000000008</v>
      </c>
      <c r="K62" s="930" t="str">
        <f>IF(OR(J62&gt;=Data!$C$10,J62&lt;=-Data!$C$10), "Material", "Immaterial")</f>
        <v>Immaterial</v>
      </c>
      <c r="L62" s="931">
        <v>0</v>
      </c>
      <c r="N62" s="898"/>
    </row>
    <row r="63" spans="1:22" ht="43.5">
      <c r="A63" s="932" t="s">
        <v>1170</v>
      </c>
      <c r="B63" s="933"/>
      <c r="C63" s="918" t="s">
        <v>978</v>
      </c>
      <c r="D63" s="928">
        <v>-10.6</v>
      </c>
      <c r="E63" s="928"/>
      <c r="F63" s="920"/>
      <c r="G63" s="921"/>
      <c r="H63" s="928"/>
      <c r="I63" s="923"/>
      <c r="J63" s="1014">
        <f>IF(E$11&lt;&gt;"",IF(OR(B$11="No Filing Date","Enter Filing Date",E$11&lt;D$11),"Error in Filing Date",IF('R8a - Tax Reconciliation'!B$11="Original Filing",D63-H63,E63-H63)),IF(OR(B$11="No Filing Date","Enter Filing Date"),"Error in Filing Date",IF('R8a - Tax Reconciliation'!B$11="Original Filing",D63-H63,E63-H63)))</f>
        <v>-10.6</v>
      </c>
      <c r="K63" s="930" t="str">
        <f>IF(OR(J63&gt;=Data!$C$10,J63&lt;=-Data!$C$10), "Material", "Immaterial")</f>
        <v>Material</v>
      </c>
      <c r="L63" s="931" t="s">
        <v>1167</v>
      </c>
      <c r="N63" s="898"/>
    </row>
    <row r="64" spans="1:22">
      <c r="A64" s="932" t="s">
        <v>1171</v>
      </c>
      <c r="B64" s="933"/>
      <c r="C64" s="918" t="s">
        <v>978</v>
      </c>
      <c r="D64" s="928">
        <v>1.0485709999999999</v>
      </c>
      <c r="E64" s="928"/>
      <c r="F64" s="920"/>
      <c r="G64" s="921"/>
      <c r="H64" s="928"/>
      <c r="I64" s="923"/>
      <c r="J64" s="1014">
        <f>IF(E$11&lt;&gt;"",IF(OR(B$11="No Filing Date","Enter Filing Date",E$11&lt;D$11),"Error in Filing Date",IF('R8a - Tax Reconciliation'!B$11="Original Filing",D64-H64,E64-H64)),IF(OR(B$11="No Filing Date","Enter Filing Date"),"Error in Filing Date",IF('R8a - Tax Reconciliation'!B$11="Original Filing",D64-H64,E64-H64)))</f>
        <v>1.0485709999999999</v>
      </c>
      <c r="K64" s="930" t="str">
        <f>IF(OR(J64&gt;=Data!$C$10,J64&lt;=-Data!$C$10), "Material", "Immaterial")</f>
        <v>Immaterial</v>
      </c>
      <c r="L64" s="931">
        <v>0</v>
      </c>
      <c r="N64" s="898"/>
    </row>
    <row r="65" spans="1:16">
      <c r="A65" s="932" t="s">
        <v>1172</v>
      </c>
      <c r="B65" s="933"/>
      <c r="C65" s="918" t="s">
        <v>978</v>
      </c>
      <c r="D65" s="928">
        <v>2.4053049999999998</v>
      </c>
      <c r="E65" s="928"/>
      <c r="F65" s="920"/>
      <c r="G65" s="921"/>
      <c r="H65" s="928"/>
      <c r="I65" s="923"/>
      <c r="J65" s="1014">
        <f>IF(E$11&lt;&gt;"",IF(OR(B$11="No Filing Date","Enter Filing Date",E$11&lt;D$11),"Error in Filing Date",IF('R8a - Tax Reconciliation'!B$11="Original Filing",D65-H65,E65-H65)),IF(OR(B$11="No Filing Date","Enter Filing Date"),"Error in Filing Date",IF('R8a - Tax Reconciliation'!B$11="Original Filing",D65-H65,E65-H65)))</f>
        <v>2.4053049999999998</v>
      </c>
      <c r="K65" s="930" t="str">
        <f>IF(OR(J65&gt;=Data!$C$10,J65&lt;=-Data!$C$10), "Material", "Immaterial")</f>
        <v>Immaterial</v>
      </c>
      <c r="L65" s="931">
        <v>0</v>
      </c>
      <c r="N65" s="898"/>
    </row>
    <row r="66" spans="1:16">
      <c r="A66" s="932" t="s">
        <v>1173</v>
      </c>
      <c r="B66" s="933"/>
      <c r="C66" s="918" t="s">
        <v>978</v>
      </c>
      <c r="D66" s="928">
        <v>-0.352549</v>
      </c>
      <c r="E66" s="928"/>
      <c r="F66" s="920"/>
      <c r="G66" s="921"/>
      <c r="H66" s="928"/>
      <c r="I66" s="923"/>
      <c r="J66" s="1014">
        <f>IF(E$11&lt;&gt;"",IF(OR(B$11="No Filing Date","Enter Filing Date",E$11&lt;D$11),"Error in Filing Date",IF('R8a - Tax Reconciliation'!B$11="Original Filing",D66-H66,E66-H66)),IF(OR(B$11="No Filing Date","Enter Filing Date"),"Error in Filing Date",IF('R8a - Tax Reconciliation'!B$11="Original Filing",D66-H66,E66-H66)))</f>
        <v>-0.352549</v>
      </c>
      <c r="K66" s="930" t="str">
        <f>IF(OR(J66&gt;=Data!$C$10,J66&lt;=-Data!$C$10), "Material", "Immaterial")</f>
        <v>Immaterial</v>
      </c>
      <c r="L66" s="931">
        <v>0</v>
      </c>
      <c r="N66" s="898"/>
    </row>
    <row r="67" spans="1:16">
      <c r="A67" s="932" t="s">
        <v>1174</v>
      </c>
      <c r="B67" s="962"/>
      <c r="C67" s="918" t="s">
        <v>978</v>
      </c>
      <c r="D67" s="928">
        <v>-0.163632</v>
      </c>
      <c r="E67" s="928"/>
      <c r="F67" s="923"/>
      <c r="G67" s="921"/>
      <c r="H67" s="928"/>
      <c r="I67" s="923"/>
      <c r="J67" s="1014">
        <f>IF(E$11&lt;&gt;"",IF(OR(B$11="No Filing Date","Enter Filing Date",E$11&lt;D$11),"Error in Filing Date",IF('R8a - Tax Reconciliation'!B$11="Original Filing",D67-H67,E67-H67)),IF(OR(B$11="No Filing Date","Enter Filing Date"),"Error in Filing Date",IF('R8a - Tax Reconciliation'!B$11="Original Filing",D67-H67,E67-H67)))</f>
        <v>-0.163632</v>
      </c>
      <c r="K67" s="930" t="str">
        <f>IF(OR(J67&gt;=Data!$C$10,J67&lt;=-Data!$C$10), "Material", "Immaterial")</f>
        <v>Immaterial</v>
      </c>
      <c r="L67" s="931">
        <v>0</v>
      </c>
      <c r="N67" s="898"/>
    </row>
    <row r="68" spans="1:16">
      <c r="A68" s="932" t="s">
        <v>990</v>
      </c>
      <c r="B68" s="962"/>
      <c r="C68" s="918"/>
      <c r="D68" s="1284"/>
      <c r="E68" s="1284"/>
      <c r="F68" s="923"/>
      <c r="G68" s="921"/>
      <c r="H68" s="1284"/>
      <c r="I68" s="923"/>
      <c r="J68" s="1014">
        <f>IF(E$11&lt;&gt;"",IF(OR(B$11="No Filing Date","Enter Filing Date",E$11&lt;D$11),"Error in Filing Date",IF('R8a - Tax Reconciliation'!B$11="Original Filing",D68-H68,E68-H68)),IF(OR(B$11="No Filing Date","Enter Filing Date"),"Error in Filing Date",IF('R8a - Tax Reconciliation'!B$11="Original Filing",D68-H68,E68-H68)))</f>
        <v>0</v>
      </c>
      <c r="K68" s="930"/>
      <c r="L68" s="925"/>
      <c r="N68" s="898"/>
    </row>
    <row r="69" spans="1:16">
      <c r="A69" s="950"/>
      <c r="B69" s="952"/>
      <c r="D69" s="947"/>
      <c r="E69" s="947"/>
      <c r="F69" s="947"/>
      <c r="G69" s="948"/>
      <c r="H69" s="947"/>
      <c r="I69" s="947"/>
      <c r="J69" s="947"/>
      <c r="K69" s="948"/>
      <c r="L69" s="949"/>
      <c r="M69" s="936"/>
      <c r="N69" s="936"/>
      <c r="O69" s="936"/>
      <c r="P69" s="936"/>
    </row>
    <row r="70" spans="1:16">
      <c r="A70" s="966" t="s">
        <v>1011</v>
      </c>
      <c r="B70" s="952"/>
      <c r="D70" s="947"/>
      <c r="E70" s="947"/>
      <c r="F70" s="947"/>
      <c r="G70" s="948"/>
      <c r="H70" s="947"/>
      <c r="I70" s="947"/>
      <c r="J70" s="947"/>
      <c r="K70" s="948"/>
      <c r="L70" s="949"/>
      <c r="N70" s="898"/>
    </row>
    <row r="71" spans="1:16" ht="58">
      <c r="A71" s="965" t="s">
        <v>1012</v>
      </c>
      <c r="B71" s="962"/>
      <c r="C71" s="918" t="s">
        <v>978</v>
      </c>
      <c r="D71" s="928">
        <v>-102.5</v>
      </c>
      <c r="E71" s="928"/>
      <c r="F71" s="923"/>
      <c r="G71" s="921" t="str">
        <f t="shared" ref="G71:G73" si="3">IF($B$4="ESO2", $B$4&amp; " " &amp;"PCFM - see Tax Allowance in 'System Operator' worksheet",  $B$4&amp; " " &amp;"PCFM - see Tax Allowance in 'Finance &amp;Tax' worksheet")</f>
        <v>GD2 PCFM - see Tax Allowance in 'Finance &amp;Tax' worksheet</v>
      </c>
      <c r="H71" s="929">
        <v>-10.486134443310485</v>
      </c>
      <c r="I71" s="964"/>
      <c r="J71" s="1014">
        <f>IF(E$11&lt;&gt;"",IF(OR(B$11="No Filing Date","Enter Filing Date",E$11&lt;D$11),"Error in Filing Date",IF('R8a - Tax Reconciliation'!B$11="Original Filing",D71-H71,E71-H71)),IF(OR(B$11="No Filing Date","Enter Filing Date"),"Error in Filing Date",IF('R8a - Tax Reconciliation'!B$11="Original Filing",D71-H71,E71-H71)))</f>
        <v>-92.01386555668951</v>
      </c>
      <c r="K71" s="930" t="str">
        <f>IF(OR(J71&gt;=Data!$C$10,J71&lt;=-Data!$C$10), "Material", "Immaterial")</f>
        <v>Material</v>
      </c>
      <c r="L71" s="931" t="s">
        <v>1175</v>
      </c>
      <c r="M71" s="936"/>
      <c r="N71" s="936"/>
      <c r="O71" s="936"/>
      <c r="P71" s="936"/>
    </row>
    <row r="72" spans="1:16" ht="43.5">
      <c r="A72" s="965" t="s">
        <v>1013</v>
      </c>
      <c r="B72" s="962"/>
      <c r="C72" s="918" t="s">
        <v>978</v>
      </c>
      <c r="D72" s="928">
        <v>-138.9</v>
      </c>
      <c r="E72" s="928"/>
      <c r="F72" s="923"/>
      <c r="G72" s="921" t="str">
        <f t="shared" si="3"/>
        <v>GD2 PCFM - see Tax Allowance in 'Finance &amp;Tax' worksheet</v>
      </c>
      <c r="H72" s="929">
        <v>-9.6999999999999993</v>
      </c>
      <c r="I72" s="964"/>
      <c r="J72" s="1014">
        <f>IF(E$11&lt;&gt;"",IF(OR(B$11="No Filing Date","Enter Filing Date",E$11&lt;D$11),"Error in Filing Date",IF('R8a - Tax Reconciliation'!B$11="Original Filing",D72-H72,E72-H72)),IF(OR(B$11="No Filing Date","Enter Filing Date"),"Error in Filing Date",IF('R8a - Tax Reconciliation'!B$11="Original Filing",D72-H72,E72-H72)))</f>
        <v>-129.20000000000002</v>
      </c>
      <c r="K72" s="930" t="str">
        <f>IF(OR(J72&gt;=Data!$C$10,J72&lt;=-Data!$C$10), "Material", "Immaterial")</f>
        <v>Material</v>
      </c>
      <c r="L72" s="931" t="s">
        <v>1176</v>
      </c>
      <c r="M72" s="936"/>
      <c r="N72" s="936"/>
      <c r="O72" s="936"/>
      <c r="P72" s="936"/>
    </row>
    <row r="73" spans="1:16">
      <c r="A73" s="965" t="s">
        <v>1014</v>
      </c>
      <c r="B73" s="962"/>
      <c r="C73" s="918" t="s">
        <v>978</v>
      </c>
      <c r="D73" s="928">
        <v>-8.9446999999999999E-2</v>
      </c>
      <c r="E73" s="928"/>
      <c r="F73" s="923"/>
      <c r="G73" s="921" t="str">
        <f t="shared" si="3"/>
        <v>GD2 PCFM - see Tax Allowance in 'Finance &amp;Tax' worksheet</v>
      </c>
      <c r="H73" s="929">
        <v>0</v>
      </c>
      <c r="I73" s="964"/>
      <c r="J73" s="1014">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30" t="str">
        <f>IF(OR(J73&gt;=Data!$C$10,J73&lt;=-Data!$C$10), "Material", "Immaterial")</f>
        <v>Immaterial</v>
      </c>
      <c r="L73" s="931">
        <v>0</v>
      </c>
      <c r="M73" s="936"/>
      <c r="N73" s="936"/>
      <c r="O73" s="936"/>
      <c r="P73" s="936"/>
    </row>
    <row r="74" spans="1:16">
      <c r="A74" s="965" t="s">
        <v>1015</v>
      </c>
      <c r="B74" s="962"/>
      <c r="C74" s="918" t="s">
        <v>978</v>
      </c>
      <c r="D74" s="928">
        <v>0</v>
      </c>
      <c r="E74" s="928"/>
      <c r="F74" s="923"/>
      <c r="G74" s="921"/>
      <c r="H74" s="928"/>
      <c r="I74" s="923"/>
      <c r="J74" s="1014">
        <f>IF(E$11&lt;&gt;"",IF(OR(B$11="No Filing Date","Enter Filing Date",E$11&lt;D$11),"Error in Filing Date",IF('R8a - Tax Reconciliation'!B$11="Original Filing",D74-H74,E74-H74)),IF(OR(B$11="No Filing Date","Enter Filing Date"),"Error in Filing Date",IF('R8a - Tax Reconciliation'!B$11="Original Filing",D74-H74,E74-H74)))</f>
        <v>0</v>
      </c>
      <c r="K74" s="930" t="str">
        <f>IF(OR(J74&gt;=Data!$C$10,J74&lt;=-Data!$C$10), "Material", "Immaterial")</f>
        <v>Immaterial</v>
      </c>
      <c r="L74" s="931">
        <v>0</v>
      </c>
      <c r="M74" s="936"/>
      <c r="N74" s="936"/>
      <c r="O74" s="936"/>
      <c r="P74" s="936"/>
    </row>
    <row r="75" spans="1:16" s="918" customFormat="1" ht="43.5">
      <c r="A75" s="965" t="s">
        <v>1016</v>
      </c>
      <c r="B75" s="962"/>
      <c r="C75" s="918" t="s">
        <v>978</v>
      </c>
      <c r="D75" s="928">
        <v>-16.7</v>
      </c>
      <c r="E75" s="928"/>
      <c r="F75" s="923"/>
      <c r="G75" s="921"/>
      <c r="H75" s="928"/>
      <c r="I75" s="923"/>
      <c r="J75" s="1014">
        <f>IF(E$11&lt;&gt;"",IF(OR(B$11="No Filing Date","Enter Filing Date",E$11&lt;D$11),"Error in Filing Date",IF('R8a - Tax Reconciliation'!B$11="Original Filing",D75-H75,E75-H75)),IF(OR(B$11="No Filing Date","Enter Filing Date"),"Error in Filing Date",IF('R8a - Tax Reconciliation'!B$11="Original Filing",D75-H75,E75-H75)))</f>
        <v>-16.7</v>
      </c>
      <c r="K75" s="930" t="str">
        <f>IF(OR(J75&gt;=Data!$C$10,J75&lt;=-Data!$C$10), "Material", "Immaterial")</f>
        <v>Material</v>
      </c>
      <c r="L75" s="931" t="s">
        <v>1177</v>
      </c>
      <c r="N75" s="936"/>
    </row>
    <row r="76" spans="1:16">
      <c r="A76" s="965" t="s">
        <v>1017</v>
      </c>
      <c r="B76" s="962"/>
      <c r="C76" s="918" t="s">
        <v>978</v>
      </c>
      <c r="D76" s="928">
        <v>0</v>
      </c>
      <c r="E76" s="928"/>
      <c r="F76" s="923"/>
      <c r="G76" s="921"/>
      <c r="H76" s="928"/>
      <c r="I76" s="923"/>
      <c r="J76" s="1014">
        <f>IF(E$11&lt;&gt;"",IF(OR(B$11="No Filing Date","Enter Filing Date",E$11&lt;D$11),"Error in Filing Date",IF('R8a - Tax Reconciliation'!B$11="Original Filing",D76-H76,E76-H76)),IF(OR(B$11="No Filing Date","Enter Filing Date"),"Error in Filing Date",IF('R8a - Tax Reconciliation'!B$11="Original Filing",D76-H76,E76-H76)))</f>
        <v>0</v>
      </c>
      <c r="K76" s="930" t="str">
        <f>IF(OR(J76&gt;=Data!$C$10,J76&lt;=-Data!$C$10), "Material", "Immaterial")</f>
        <v>Immaterial</v>
      </c>
      <c r="L76" s="931">
        <v>0</v>
      </c>
      <c r="M76" s="936"/>
      <c r="N76" s="936"/>
      <c r="O76" s="936"/>
      <c r="P76" s="936"/>
    </row>
    <row r="77" spans="1:16">
      <c r="A77" s="965" t="s">
        <v>1180</v>
      </c>
      <c r="B77" s="962"/>
      <c r="C77" s="918" t="s">
        <v>978</v>
      </c>
      <c r="D77" s="928">
        <v>-1</v>
      </c>
      <c r="E77" s="928"/>
      <c r="F77" s="923"/>
      <c r="G77" s="921"/>
      <c r="H77" s="928"/>
      <c r="I77" s="923"/>
      <c r="J77" s="1014">
        <f>IF(E$11&lt;&gt;"",IF(OR(B$11="No Filing Date","Enter Filing Date",E$11&lt;D$11),"Error in Filing Date",IF('R8a - Tax Reconciliation'!B$11="Original Filing",D77-H77,E77-H77)),IF(OR(B$11="No Filing Date","Enter Filing Date"),"Error in Filing Date",IF('R8a - Tax Reconciliation'!B$11="Original Filing",D77-H77,E77-H77)))</f>
        <v>-1</v>
      </c>
      <c r="K77" s="930"/>
      <c r="L77" s="931" t="e">
        <v>#REF!</v>
      </c>
      <c r="M77" s="936"/>
      <c r="N77" s="936"/>
      <c r="O77" s="936"/>
      <c r="P77" s="936"/>
    </row>
    <row r="78" spans="1:16">
      <c r="A78" s="965" t="s">
        <v>990</v>
      </c>
      <c r="B78" s="962"/>
      <c r="C78" s="936"/>
      <c r="D78" s="928"/>
      <c r="E78" s="1284"/>
      <c r="F78" s="923"/>
      <c r="G78" s="921"/>
      <c r="H78" s="1284"/>
      <c r="I78" s="923"/>
      <c r="J78" s="1014">
        <f>IF(E$11&lt;&gt;"",IF(OR(B$11="No Filing Date","Enter Filing Date",E$11&lt;D$11),"Error in Filing Date",IF('R8a - Tax Reconciliation'!B$11="Original Filing",D78-H78,E78-H78)),IF(OR(B$11="No Filing Date","Enter Filing Date"),"Error in Filing Date",IF('R8a - Tax Reconciliation'!B$11="Original Filing",D78-H78,E78-H78)))</f>
        <v>0</v>
      </c>
      <c r="K78" s="930"/>
      <c r="L78" s="931"/>
      <c r="M78" s="936"/>
      <c r="N78" s="936"/>
      <c r="O78" s="936"/>
      <c r="P78" s="936"/>
    </row>
    <row r="79" spans="1:16" s="918" customFormat="1">
      <c r="A79" s="1386"/>
      <c r="B79" s="1387"/>
      <c r="C79" s="896"/>
      <c r="D79" s="928">
        <v>0</v>
      </c>
      <c r="E79" s="947"/>
      <c r="F79" s="947"/>
      <c r="G79" s="948"/>
      <c r="H79" s="947"/>
      <c r="I79" s="947"/>
      <c r="J79" s="1014">
        <f>IF(E$11&lt;&gt;"",IF(OR(B$11="No Filing Date","Enter Filing Date",E$11&lt;D$11),"Error in Filing Date",IF('R8a - Tax Reconciliation'!B$11="Original Filing",D79-H79,E79-H79)),IF(OR(B$11="No Filing Date","Enter Filing Date"),"Error in Filing Date",IF('R8a - Tax Reconciliation'!B$11="Original Filing",D79-H79,E79-H79)))</f>
        <v>0</v>
      </c>
      <c r="K79" s="948"/>
      <c r="L79" s="931">
        <v>0</v>
      </c>
      <c r="N79" s="936"/>
    </row>
    <row r="80" spans="1:16" s="918" customFormat="1">
      <c r="A80" s="1380" t="s">
        <v>1018</v>
      </c>
      <c r="B80" s="1381"/>
      <c r="C80" s="896"/>
      <c r="D80" s="928">
        <v>0</v>
      </c>
      <c r="E80" s="947"/>
      <c r="F80" s="947"/>
      <c r="G80" s="948"/>
      <c r="H80" s="947"/>
      <c r="I80" s="947"/>
      <c r="J80" s="1014">
        <f>IF(E$11&lt;&gt;"",IF(OR(B$11="No Filing Date","Enter Filing Date",E$11&lt;D$11),"Error in Filing Date",IF('R8a - Tax Reconciliation'!B$11="Original Filing",D80-H80,E80-H80)),IF(OR(B$11="No Filing Date","Enter Filing Date"),"Error in Filing Date",IF('R8a - Tax Reconciliation'!B$11="Original Filing",D80-H80,E80-H80)))</f>
        <v>0</v>
      </c>
      <c r="K80" s="948"/>
      <c r="L80" s="931">
        <v>0</v>
      </c>
      <c r="N80" s="936"/>
    </row>
    <row r="81" spans="1:17">
      <c r="A81" s="967" t="s">
        <v>1019</v>
      </c>
      <c r="B81" s="968"/>
      <c r="C81" s="918" t="s">
        <v>978</v>
      </c>
      <c r="D81" s="928">
        <v>0</v>
      </c>
      <c r="E81" s="928"/>
      <c r="F81" s="920"/>
      <c r="G81" s="921"/>
      <c r="H81" s="928"/>
      <c r="I81" s="923"/>
      <c r="J81" s="1014">
        <f>IF(E$11&lt;&gt;"",IF(OR(B$11="No Filing Date","Enter Filing Date",E$11&lt;D$11),"Error in Filing Date",IF('R8a - Tax Reconciliation'!B$11="Original Filing",D81-H81,E81-H81)),IF(OR(B$11="No Filing Date","Enter Filing Date"),"Error in Filing Date",IF('R8a - Tax Reconciliation'!B$11="Original Filing",D81-H81,E81-H81)))</f>
        <v>0</v>
      </c>
      <c r="K81" s="930" t="str">
        <f>IF(OR(J81&gt;=Data!$C$10,J81&lt;=-Data!$C$10), "Material", "Immaterial")</f>
        <v>Immaterial</v>
      </c>
      <c r="L81" s="931">
        <v>0</v>
      </c>
      <c r="M81" s="936"/>
      <c r="N81" s="936"/>
      <c r="O81" s="936"/>
      <c r="P81" s="936"/>
    </row>
    <row r="82" spans="1:17" ht="29">
      <c r="A82" s="967" t="s">
        <v>1020</v>
      </c>
      <c r="B82" s="968"/>
      <c r="C82" s="918" t="s">
        <v>978</v>
      </c>
      <c r="D82" s="928">
        <v>-158.10355799999999</v>
      </c>
      <c r="E82" s="928"/>
      <c r="F82" s="920"/>
      <c r="G82" s="921"/>
      <c r="H82" s="928"/>
      <c r="I82" s="923"/>
      <c r="J82" s="1014">
        <f>IF(E$11&lt;&gt;"",IF(OR(B$11="No Filing Date","Enter Filing Date",E$11&lt;D$11),"Error in Filing Date",IF('R8a - Tax Reconciliation'!B$11="Original Filing",D82-H82,E82-H82)),IF(OR(B$11="No Filing Date","Enter Filing Date"),"Error in Filing Date",IF('R8a - Tax Reconciliation'!B$11="Original Filing",D82-H82,E82-H82)))</f>
        <v>-158.10355799999999</v>
      </c>
      <c r="K82" s="930" t="str">
        <f>IF(OR(J82&gt;=Data!$C$10,J82&lt;=-Data!$C$10), "Material", "Immaterial")</f>
        <v>Material</v>
      </c>
      <c r="L82" s="931" t="s">
        <v>1178</v>
      </c>
      <c r="M82" s="936"/>
      <c r="N82" s="936"/>
      <c r="O82" s="936"/>
      <c r="P82" s="936"/>
    </row>
    <row r="83" spans="1:17" ht="29">
      <c r="A83" s="932" t="s">
        <v>1021</v>
      </c>
      <c r="B83" s="933"/>
      <c r="C83" s="918" t="s">
        <v>978</v>
      </c>
      <c r="D83" s="928">
        <v>-1.6142559999999999</v>
      </c>
      <c r="E83" s="928"/>
      <c r="F83" s="920"/>
      <c r="G83" s="921"/>
      <c r="H83" s="928"/>
      <c r="I83" s="923"/>
      <c r="J83" s="1014">
        <f>IF(E$11&lt;&gt;"",IF(OR(B$11="No Filing Date","Enter Filing Date",E$11&lt;D$11),"Error in Filing Date",IF('R8a - Tax Reconciliation'!B$11="Original Filing",D83-H83,E83-H83)),IF(OR(B$11="No Filing Date","Enter Filing Date"),"Error in Filing Date",IF('R8a - Tax Reconciliation'!B$11="Original Filing",D83-H83,E83-H83)))</f>
        <v>-1.6142559999999999</v>
      </c>
      <c r="K83" s="930" t="str">
        <f>IF(OR(J83&gt;=Data!$C$10,J83&lt;=-Data!$C$10), "Material", "Immaterial")</f>
        <v>Immaterial</v>
      </c>
      <c r="L83" s="931" t="s">
        <v>1179</v>
      </c>
      <c r="M83" s="936"/>
      <c r="N83" s="936"/>
      <c r="O83" s="936"/>
      <c r="P83" s="936"/>
    </row>
    <row r="84" spans="1:17">
      <c r="A84" s="932" t="s">
        <v>1022</v>
      </c>
      <c r="B84" s="933"/>
      <c r="C84" s="918" t="s">
        <v>978</v>
      </c>
      <c r="D84" s="928">
        <v>0</v>
      </c>
      <c r="E84" s="928"/>
      <c r="F84" s="920"/>
      <c r="G84" s="921"/>
      <c r="H84" s="928"/>
      <c r="I84" s="923"/>
      <c r="J84" s="1014">
        <f>IF(E$11&lt;&gt;"",IF(OR(B$11="No Filing Date","Enter Filing Date",E$11&lt;D$11),"Error in Filing Date",IF('R8a - Tax Reconciliation'!B$11="Original Filing",D84-H84,E84-H84)),IF(OR(B$11="No Filing Date","Enter Filing Date"),"Error in Filing Date",IF('R8a - Tax Reconciliation'!B$11="Original Filing",D84-H84,E84-H84)))</f>
        <v>0</v>
      </c>
      <c r="K84" s="930" t="str">
        <f>IF(OR(J84&gt;=Data!$C$10,J84&lt;=-Data!$C$10), "Material", "Immaterial")</f>
        <v>Immaterial</v>
      </c>
      <c r="L84" s="931">
        <v>0</v>
      </c>
      <c r="M84" s="936"/>
      <c r="N84" s="936"/>
      <c r="O84" s="936"/>
      <c r="P84" s="936"/>
    </row>
    <row r="85" spans="1:17">
      <c r="A85" s="932" t="s">
        <v>1023</v>
      </c>
      <c r="B85" s="933"/>
      <c r="C85" s="918" t="s">
        <v>978</v>
      </c>
      <c r="D85" s="928">
        <v>0</v>
      </c>
      <c r="E85" s="928"/>
      <c r="F85" s="920"/>
      <c r="G85" s="921"/>
      <c r="H85" s="928"/>
      <c r="I85" s="923"/>
      <c r="J85" s="1014">
        <f>IF(E$11&lt;&gt;"",IF(OR(B$11="No Filing Date","Enter Filing Date",E$11&lt;D$11),"Error in Filing Date",IF('R8a - Tax Reconciliation'!B$11="Original Filing",D85-H85,E85-H85)),IF(OR(B$11="No Filing Date","Enter Filing Date"),"Error in Filing Date",IF('R8a - Tax Reconciliation'!B$11="Original Filing",D85-H85,E85-H85)))</f>
        <v>0</v>
      </c>
      <c r="K85" s="930" t="str">
        <f>IF(OR(J85&gt;=Data!$C$10,J85&lt;=-Data!$C$10), "Material", "Immaterial")</f>
        <v>Immaterial</v>
      </c>
      <c r="L85" s="931">
        <v>0</v>
      </c>
      <c r="M85" s="918"/>
      <c r="N85" s="936"/>
      <c r="O85" s="918"/>
      <c r="P85" s="918"/>
      <c r="Q85" s="918"/>
    </row>
    <row r="86" spans="1:17">
      <c r="A86" s="932" t="s">
        <v>1181</v>
      </c>
      <c r="B86" s="933"/>
      <c r="C86" s="918"/>
      <c r="D86" s="928">
        <v>0</v>
      </c>
      <c r="E86" s="928"/>
      <c r="F86" s="920"/>
      <c r="G86" s="921"/>
      <c r="H86" s="928"/>
      <c r="I86" s="923"/>
      <c r="J86" s="1014">
        <f>IF(E$11&lt;&gt;"",IF(OR(B$11="No Filing Date","Enter Filing Date",E$11&lt;D$11),"Error in Filing Date",IF('R8a - Tax Reconciliation'!B$11="Original Filing",D86-H86,E86-H86)),IF(OR(B$11="No Filing Date","Enter Filing Date"),"Error in Filing Date",IF('R8a - Tax Reconciliation'!B$11="Original Filing",D86-H86,E86-H86)))</f>
        <v>0</v>
      </c>
      <c r="K86" s="930" t="str">
        <f>IF(OR(J86&gt;=Data!$C$10,J86&lt;=-Data!$C$10), "Material", "Immaterial")</f>
        <v>Immaterial</v>
      </c>
      <c r="L86" s="931">
        <v>0</v>
      </c>
      <c r="M86" s="936"/>
      <c r="N86" s="936"/>
      <c r="O86" s="936"/>
      <c r="P86" s="936"/>
    </row>
    <row r="87" spans="1:17">
      <c r="A87" s="932" t="s">
        <v>1182</v>
      </c>
      <c r="B87" s="933"/>
      <c r="C87" s="918"/>
      <c r="D87" s="928">
        <v>0.31226900000000002</v>
      </c>
      <c r="E87" s="928"/>
      <c r="F87" s="920"/>
      <c r="G87" s="921"/>
      <c r="H87" s="928"/>
      <c r="I87" s="923"/>
      <c r="J87" s="1014">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0" t="str">
        <f>IF(OR(J87&gt;=Data!$C$10,J87&lt;=-Data!$C$10), "Material", "Immaterial")</f>
        <v>Immaterial</v>
      </c>
      <c r="L87" s="931">
        <v>0</v>
      </c>
      <c r="M87" s="936"/>
      <c r="N87" s="936"/>
      <c r="O87" s="936"/>
      <c r="P87" s="936"/>
    </row>
    <row r="88" spans="1:17" ht="29">
      <c r="A88" s="932" t="s">
        <v>1183</v>
      </c>
      <c r="B88" s="970"/>
      <c r="C88" s="918" t="s">
        <v>978</v>
      </c>
      <c r="D88" s="928">
        <v>-29</v>
      </c>
      <c r="E88" s="928"/>
      <c r="F88" s="920"/>
      <c r="G88" s="921"/>
      <c r="H88" s="928"/>
      <c r="I88" s="923"/>
      <c r="J88" s="1014">
        <f>IF(E$11&lt;&gt;"",IF(OR(B$11="No Filing Date","Enter Filing Date",E$11&lt;D$11),"Error in Filing Date",IF('R8a - Tax Reconciliation'!B$11="Original Filing",D88-H88,E88-H88)),IF(OR(B$11="No Filing Date","Enter Filing Date"),"Error in Filing Date",IF('R8a - Tax Reconciliation'!B$11="Original Filing",D88-H88,E88-H88)))</f>
        <v>-29</v>
      </c>
      <c r="K88" s="930" t="str">
        <f>IF(OR(J88&gt;=Data!$C$10,J88&lt;=-Data!$C$10), "Material", "Immaterial")</f>
        <v>Material</v>
      </c>
      <c r="L88" s="931" t="s">
        <v>1178</v>
      </c>
      <c r="M88" s="936"/>
      <c r="N88" s="936"/>
      <c r="O88" s="936"/>
      <c r="P88" s="936"/>
    </row>
    <row r="89" spans="1:17">
      <c r="A89" s="932" t="s">
        <v>990</v>
      </c>
      <c r="B89" s="917"/>
      <c r="C89" s="918"/>
      <c r="D89" s="1285"/>
      <c r="E89" s="1285"/>
      <c r="F89" s="920"/>
      <c r="G89" s="921"/>
      <c r="H89" s="1285"/>
      <c r="I89" s="923"/>
      <c r="J89" s="1014">
        <f>IF(E$11&lt;&gt;"",IF(OR(B$11="No Filing Date","Enter Filing Date",E$11&lt;D$11),"Error in Filing Date",IF('R8a - Tax Reconciliation'!B$11="Original Filing",D89-H89,E89-H89)),IF(OR(B$11="No Filing Date","Enter Filing Date"),"Error in Filing Date",IF('R8a - Tax Reconciliation'!B$11="Original Filing",D89-H89,E89-H89)))</f>
        <v>0</v>
      </c>
      <c r="K89" s="930"/>
      <c r="L89" s="931"/>
      <c r="M89" s="936"/>
      <c r="N89" s="936"/>
      <c r="O89" s="936"/>
      <c r="P89" s="936"/>
    </row>
    <row r="90" spans="1:17">
      <c r="D90" s="971"/>
      <c r="E90" s="971"/>
      <c r="F90" s="947"/>
      <c r="G90" s="948"/>
      <c r="H90" s="971"/>
      <c r="I90" s="947"/>
      <c r="J90" s="947"/>
      <c r="K90" s="948"/>
      <c r="L90" s="931">
        <v>0</v>
      </c>
      <c r="M90" s="936"/>
      <c r="N90" s="936"/>
      <c r="O90" s="936"/>
      <c r="P90" s="936"/>
    </row>
    <row r="91" spans="1:17">
      <c r="A91" s="1388" t="s">
        <v>1024</v>
      </c>
      <c r="B91" s="1389"/>
      <c r="C91" s="962" t="s">
        <v>978</v>
      </c>
      <c r="D91" s="1008">
        <f>SUM(D44:D90)</f>
        <v>513.00799945999984</v>
      </c>
      <c r="E91" s="1008">
        <f>SUM(E44:E90)</f>
        <v>0</v>
      </c>
      <c r="F91" s="963"/>
      <c r="G91" s="943" t="s">
        <v>1025</v>
      </c>
      <c r="H91" s="1008">
        <f>SUM(H44:H90)</f>
        <v>98.411681563876442</v>
      </c>
      <c r="I91" s="964"/>
      <c r="J91" s="1008">
        <f>SUM(J44:J90)</f>
        <v>414.59631789612303</v>
      </c>
      <c r="K91" s="930" t="str">
        <f>IF(OR(J91&gt;=Data!$C$10,J91&lt;=-Data!$C$10), "Material", "Immaterial")</f>
        <v>Material</v>
      </c>
      <c r="L91" s="931">
        <v>0</v>
      </c>
      <c r="M91" s="945"/>
      <c r="N91" s="945"/>
      <c r="O91" s="945"/>
      <c r="P91" s="945"/>
    </row>
    <row r="92" spans="1:17">
      <c r="A92" s="972"/>
      <c r="B92" s="972"/>
      <c r="C92" s="918"/>
      <c r="D92" s="973"/>
      <c r="E92" s="973"/>
      <c r="F92" s="920"/>
      <c r="G92" s="920"/>
      <c r="H92" s="973"/>
      <c r="I92" s="923"/>
      <c r="J92" s="974"/>
      <c r="K92" s="930"/>
      <c r="L92" s="925"/>
      <c r="M92" s="945"/>
      <c r="N92" s="945"/>
      <c r="O92" s="945"/>
      <c r="P92" s="945"/>
    </row>
    <row r="93" spans="1:17">
      <c r="A93" s="946" t="s">
        <v>1026</v>
      </c>
      <c r="B93" s="975"/>
      <c r="C93" s="918"/>
      <c r="D93" s="920"/>
      <c r="E93" s="920"/>
      <c r="F93" s="920"/>
      <c r="G93" s="920"/>
      <c r="H93" s="920"/>
      <c r="I93" s="923"/>
      <c r="J93" s="923"/>
      <c r="K93" s="930"/>
      <c r="L93" s="925"/>
      <c r="M93" s="945"/>
      <c r="N93" s="945"/>
      <c r="O93" s="945"/>
      <c r="P93" s="945"/>
    </row>
    <row r="94" spans="1:17">
      <c r="A94" s="976"/>
      <c r="B94" s="977"/>
      <c r="C94" s="918"/>
      <c r="D94" s="920"/>
      <c r="E94" s="920"/>
      <c r="F94" s="920"/>
      <c r="G94" s="920"/>
      <c r="H94" s="920"/>
      <c r="I94" s="923"/>
      <c r="J94" s="923"/>
      <c r="K94" s="930"/>
      <c r="L94" s="925"/>
      <c r="M94" s="945"/>
      <c r="N94" s="945"/>
      <c r="O94" s="945"/>
      <c r="P94" s="945"/>
      <c r="Q94" s="918"/>
    </row>
    <row r="95" spans="1:17">
      <c r="A95" s="960" t="s">
        <v>1027</v>
      </c>
      <c r="B95" s="978"/>
      <c r="D95" s="954"/>
      <c r="E95" s="979"/>
      <c r="F95" s="954"/>
      <c r="G95" s="955"/>
      <c r="H95" s="979"/>
      <c r="I95" s="947"/>
      <c r="J95" s="947"/>
      <c r="K95" s="948"/>
      <c r="L95" s="949"/>
      <c r="M95" s="945"/>
      <c r="N95" s="945"/>
      <c r="O95" s="945"/>
      <c r="P95" s="945"/>
    </row>
    <row r="96" spans="1:17" s="918" customFormat="1">
      <c r="A96" s="932" t="s">
        <v>1028</v>
      </c>
      <c r="B96" s="977"/>
      <c r="C96" s="918" t="s">
        <v>978</v>
      </c>
      <c r="D96" s="928"/>
      <c r="E96" s="928"/>
      <c r="F96" s="920"/>
      <c r="G96" s="921" t="str">
        <f t="shared" ref="G96:G100" si="4">IF($B$4="ESO2", $B$4&amp; " " &amp;"PCFM - see Tax Allowance in 'System Operator' worksheet",  $B$4&amp; " " &amp;"PCFM - see Tax Allowance in 'Finance &amp;Tax' worksheet")</f>
        <v>GD2 PCFM - see Tax Allowance in 'Finance &amp;Tax' worksheet</v>
      </c>
      <c r="H96" s="929"/>
      <c r="I96" s="923"/>
      <c r="J96" s="1014">
        <f>IF(E$11&lt;&gt;"",IF(OR(B$11="No Filing Date","Enter Filing Date",E$11&lt;D$11),"Error in Filing Date",IF('R8a - Tax Reconciliation'!B$11="Original Filing",D96-H96,E96-H96)),IF(OR(B$11="No Filing Date","Enter Filing Date"),"Error in Filing Date",IF('R8a - Tax Reconciliation'!B$11="Original Filing",D96-H96,E96-H96)))</f>
        <v>0</v>
      </c>
      <c r="K96" s="930" t="str">
        <f>IF(OR(J96&gt;=Data!$C$10,J96&lt;=-Data!$C$10), "Material", "Immaterial")</f>
        <v>Immaterial</v>
      </c>
      <c r="L96" s="931">
        <v>0</v>
      </c>
      <c r="M96" s="945"/>
      <c r="N96" s="945"/>
      <c r="O96" s="945"/>
      <c r="P96" s="945"/>
    </row>
    <row r="97" spans="1:16" s="918" customFormat="1">
      <c r="A97" s="932" t="s">
        <v>1029</v>
      </c>
      <c r="B97" s="977"/>
      <c r="C97" s="918" t="s">
        <v>978</v>
      </c>
      <c r="D97" s="928"/>
      <c r="E97" s="928"/>
      <c r="F97" s="920"/>
      <c r="G97" s="921" t="str">
        <f t="shared" si="4"/>
        <v>GD2 PCFM - see Tax Allowance in 'Finance &amp;Tax' worksheet</v>
      </c>
      <c r="H97" s="929"/>
      <c r="I97" s="923"/>
      <c r="J97" s="1014">
        <f>IF(E$11&lt;&gt;"",IF(OR(B$11="No Filing Date","Enter Filing Date",E$11&lt;D$11),"Error in Filing Date",IF('R8a - Tax Reconciliation'!B$11="Original Filing",D97-H97,E97-H97)),IF(OR(B$11="No Filing Date","Enter Filing Date"),"Error in Filing Date",IF('R8a - Tax Reconciliation'!B$11="Original Filing",D97-H97,E97-H97)))</f>
        <v>0</v>
      </c>
      <c r="K97" s="930" t="str">
        <f>IF(OR(J97&gt;=Data!$C$10,J97&lt;=-Data!$C$10), "Material", "Immaterial")</f>
        <v>Immaterial</v>
      </c>
      <c r="L97" s="931">
        <v>0</v>
      </c>
      <c r="M97" s="945"/>
      <c r="N97" s="945"/>
      <c r="O97" s="945"/>
      <c r="P97" s="945"/>
    </row>
    <row r="98" spans="1:16" s="918" customFormat="1">
      <c r="A98" s="932" t="s">
        <v>1030</v>
      </c>
      <c r="B98" s="977"/>
      <c r="C98" s="918" t="s">
        <v>978</v>
      </c>
      <c r="D98" s="980"/>
      <c r="E98" s="980"/>
      <c r="F98" s="920"/>
      <c r="G98" s="921" t="str">
        <f t="shared" si="4"/>
        <v>GD2 PCFM - see Tax Allowance in 'Finance &amp;Tax' worksheet</v>
      </c>
      <c r="H98" s="929"/>
      <c r="I98" s="923"/>
      <c r="J98" s="1014">
        <f>IF(E$11&lt;&gt;"",IF(OR(B$11="No Filing Date","Enter Filing Date",E$11&lt;D$11),"Error in Filing Date",IF('R8a - Tax Reconciliation'!B$11="Original Filing",D98-H98,E98-H98)),IF(OR(B$11="No Filing Date","Enter Filing Date"),"Error in Filing Date",IF('R8a - Tax Reconciliation'!B$11="Original Filing",D98-H98,E98-H98)))</f>
        <v>0</v>
      </c>
      <c r="K98" s="930" t="str">
        <f>IF(OR(J98&gt;=Data!$C$10,J98&lt;=-Data!$C$10), "Material", "Immaterial")</f>
        <v>Immaterial</v>
      </c>
      <c r="L98" s="931">
        <v>0</v>
      </c>
      <c r="M98" s="945"/>
      <c r="N98" s="945"/>
      <c r="O98" s="945"/>
      <c r="P98" s="945"/>
    </row>
    <row r="99" spans="1:16" s="918" customFormat="1">
      <c r="A99" s="932" t="s">
        <v>1031</v>
      </c>
      <c r="B99" s="977"/>
      <c r="C99" s="918" t="s">
        <v>978</v>
      </c>
      <c r="D99" s="980"/>
      <c r="E99" s="980"/>
      <c r="F99" s="920"/>
      <c r="G99" s="921" t="str">
        <f t="shared" si="4"/>
        <v>GD2 PCFM - see Tax Allowance in 'Finance &amp;Tax' worksheet</v>
      </c>
      <c r="H99" s="929"/>
      <c r="I99" s="923"/>
      <c r="J99" s="1014">
        <f>IF(E$11&lt;&gt;"",IF(OR(B$11="No Filing Date","Enter Filing Date",E$11&lt;D$11),"Error in Filing Date",IF('R8a - Tax Reconciliation'!B$11="Original Filing",D99-H99,E99-H99)),IF(OR(B$11="No Filing Date","Enter Filing Date"),"Error in Filing Date",IF('R8a - Tax Reconciliation'!B$11="Original Filing",D99-H99,E99-H99)))</f>
        <v>0</v>
      </c>
      <c r="K99" s="930" t="str">
        <f>IF(OR(J99&gt;=Data!$C$10,J99&lt;=-Data!$C$10), "Material", "Immaterial")</f>
        <v>Immaterial</v>
      </c>
      <c r="L99" s="931">
        <v>0</v>
      </c>
      <c r="M99" s="945"/>
      <c r="N99" s="945"/>
      <c r="O99" s="945"/>
      <c r="P99" s="945"/>
    </row>
    <row r="100" spans="1:16" s="918" customFormat="1" ht="43.5">
      <c r="A100" s="932" t="s">
        <v>1032</v>
      </c>
      <c r="B100" s="977"/>
      <c r="C100" s="918" t="s">
        <v>978</v>
      </c>
      <c r="D100" s="928"/>
      <c r="E100" s="928"/>
      <c r="F100" s="920"/>
      <c r="G100" s="921" t="str">
        <f t="shared" si="4"/>
        <v>GD2 PCFM - see Tax Allowance in 'Finance &amp;Tax' worksheet</v>
      </c>
      <c r="H100" s="929">
        <v>15.4</v>
      </c>
      <c r="I100" s="923"/>
      <c r="J100" s="1014">
        <f>IF(E$11&lt;&gt;"",IF(OR(B$11="No Filing Date","Enter Filing Date",E$11&lt;D$11),"Error in Filing Date",IF('R8a - Tax Reconciliation'!B$11="Original Filing",D100-H100,E100-H100)),IF(OR(B$11="No Filing Date","Enter Filing Date"),"Error in Filing Date",IF('R8a - Tax Reconciliation'!B$11="Original Filing",D100-H100,E100-H100)))</f>
        <v>-15.4</v>
      </c>
      <c r="K100" s="930" t="str">
        <f>IF(OR(J100&gt;=Data!$C$10,J100&lt;=-Data!$C$10), "Material", "Immaterial")</f>
        <v>Material</v>
      </c>
      <c r="L100" s="931" t="s">
        <v>1184</v>
      </c>
      <c r="M100" s="945"/>
      <c r="N100" s="945"/>
      <c r="O100" s="945"/>
      <c r="P100" s="945"/>
    </row>
    <row r="101" spans="1:16" s="918" customFormat="1">
      <c r="A101" s="969" t="s">
        <v>1033</v>
      </c>
      <c r="B101" s="970"/>
      <c r="C101" s="918" t="s">
        <v>978</v>
      </c>
      <c r="D101" s="928"/>
      <c r="E101" s="928"/>
      <c r="F101" s="920"/>
      <c r="G101" s="921"/>
      <c r="H101" s="928"/>
      <c r="I101" s="923"/>
      <c r="J101" s="1014">
        <f>IF(E$11&lt;&gt;"",IF(OR(B$11="No Filing Date","Enter Filing Date",E$11&lt;D$11),"Error in Filing Date",IF('R8a - Tax Reconciliation'!B$11="Original Filing",D101-H101,E101-H101)),IF(OR(B$11="No Filing Date","Enter Filing Date"),"Error in Filing Date",IF('R8a - Tax Reconciliation'!B$11="Original Filing",D101-H101,E101-H101)))</f>
        <v>0</v>
      </c>
      <c r="K101" s="930" t="str">
        <f>IF(OR(J101&gt;=Data!$C$10,J101&lt;=-Data!$C$10), "Material", "Immaterial")</f>
        <v>Immaterial</v>
      </c>
      <c r="L101" s="931">
        <v>0</v>
      </c>
      <c r="M101" s="945"/>
      <c r="N101" s="945"/>
      <c r="O101" s="945"/>
      <c r="P101" s="945"/>
    </row>
    <row r="102" spans="1:16" s="918" customFormat="1">
      <c r="A102" s="896"/>
      <c r="B102" s="896"/>
      <c r="C102" s="896"/>
      <c r="D102" s="971"/>
      <c r="E102" s="971"/>
      <c r="F102" s="947"/>
      <c r="G102" s="948"/>
      <c r="H102" s="971"/>
      <c r="I102" s="947"/>
      <c r="J102" s="971"/>
      <c r="K102" s="948"/>
      <c r="L102" s="931">
        <v>0</v>
      </c>
      <c r="M102" s="945"/>
      <c r="N102" s="945"/>
      <c r="O102" s="945"/>
      <c r="P102" s="945"/>
    </row>
    <row r="103" spans="1:16" s="918" customFormat="1">
      <c r="A103" s="1233" t="s">
        <v>1034</v>
      </c>
      <c r="B103" s="1232"/>
      <c r="C103" s="962" t="s">
        <v>978</v>
      </c>
      <c r="D103" s="1007">
        <f>MAX(D91-D100,0)</f>
        <v>513.00799945999984</v>
      </c>
      <c r="E103" s="1007">
        <f>MAX(E91-E100,0)</f>
        <v>0</v>
      </c>
      <c r="F103" s="1264"/>
      <c r="G103" s="1230" t="s">
        <v>1035</v>
      </c>
      <c r="H103" s="1007">
        <f>MAX(H91-H100,0)</f>
        <v>83.011681563876436</v>
      </c>
      <c r="I103" s="947"/>
      <c r="J103" s="1014">
        <f>IF(E$11&lt;&gt;"",IF(OR(B$11="No Filing Date","Enter Filing Date",E$11&lt;D$11),"Error in Filing Date",IF('R8a - Tax Reconciliation'!B$11="Original Filing",D103-H103,E103-H103)),IF(OR(B$11="No Filing Date","Enter Filing Date"),"Error in Filing Date",IF('R8a - Tax Reconciliation'!B$11="Original Filing",D103-H103,E103-H103)))</f>
        <v>429.9963178961234</v>
      </c>
      <c r="K103" s="930" t="str">
        <f>IF(OR(J103&gt;=Data!$C$10,J103&lt;=-Data!$C$10), "Material", "Immaterial")</f>
        <v>Material</v>
      </c>
      <c r="L103" s="931">
        <v>0</v>
      </c>
      <c r="M103" s="945"/>
      <c r="N103" s="945"/>
      <c r="O103" s="945"/>
      <c r="P103" s="945"/>
    </row>
    <row r="104" spans="1:16" s="918" customFormat="1">
      <c r="A104" s="981"/>
      <c r="B104" s="982"/>
      <c r="C104" s="896"/>
      <c r="D104" s="947"/>
      <c r="E104" s="947"/>
      <c r="F104" s="947"/>
      <c r="G104" s="947"/>
      <c r="H104" s="948"/>
      <c r="I104" s="948"/>
      <c r="J104" s="948"/>
      <c r="K104" s="948"/>
      <c r="L104" s="949"/>
      <c r="M104" s="945"/>
      <c r="N104" s="945"/>
      <c r="O104" s="945"/>
      <c r="P104" s="945"/>
    </row>
    <row r="105" spans="1:16" s="983" customFormat="1">
      <c r="A105" s="1234" t="s">
        <v>1036</v>
      </c>
      <c r="B105" s="1235"/>
      <c r="C105" s="983" t="s">
        <v>978</v>
      </c>
      <c r="D105" s="1007">
        <f>+D103*D13</f>
        <v>97.471519897399972</v>
      </c>
      <c r="E105" s="1007">
        <f>+E103*E13</f>
        <v>0</v>
      </c>
      <c r="F105" s="939"/>
      <c r="G105" s="1231" t="s">
        <v>1037</v>
      </c>
      <c r="H105" s="1007">
        <f>+H103*H13</f>
        <v>15.772219497136524</v>
      </c>
      <c r="I105" s="939"/>
      <c r="J105" s="1007">
        <f>IF(E$11&lt;&gt;"",IF(OR(B$11="No Filing Date","Enter Filing Date",E$11&lt;D$11),"Error in Filing Date",IF('R8a - Tax Reconciliation'!B$11="Original Filing",D105-H105,E105-H105)),IF(OR(B$11="No Filing Date","Enter Filing Date"),"Error in Filing Date",IF('R8a - Tax Reconciliation'!B$11="Original Filing",D105-H105,E105-H105)))</f>
        <v>81.699300400263454</v>
      </c>
      <c r="K105" s="940" t="str">
        <f>IF(OR(J105&gt;=Data!$C$11,J105&lt;=-Data!$C$11), "Material", "Immaterial")</f>
        <v>Material</v>
      </c>
      <c r="L105" s="984"/>
      <c r="M105" s="985"/>
      <c r="N105" s="985"/>
      <c r="O105" s="985"/>
      <c r="P105" s="985"/>
    </row>
    <row r="106" spans="1:16" s="943" customFormat="1">
      <c r="H106" s="986"/>
    </row>
    <row r="107" spans="1:16" s="987" customFormat="1">
      <c r="A107" s="1379" t="s">
        <v>1038</v>
      </c>
      <c r="B107" s="1379"/>
      <c r="C107" s="987" t="s">
        <v>917</v>
      </c>
      <c r="D107" s="1009">
        <f>INDEX(Data!$E$34:$L$34,MATCH($B$6,Data!$E$33:$L$33,0))</f>
        <v>1.1799638149272795</v>
      </c>
      <c r="E107" s="1009">
        <f>INDEX(Data!$E$34:$L$34,MATCH($B$6,Data!$E$33:$L$33,0))</f>
        <v>1.1799638149272795</v>
      </c>
      <c r="F107" s="988"/>
      <c r="G107" s="955" t="s">
        <v>1039</v>
      </c>
      <c r="H107" s="1011">
        <f>INDEX(Data!$E$34:$L$34,MATCH($B$6,Data!$E$33:$L$33,0))</f>
        <v>1.1799638149272795</v>
      </c>
      <c r="I107" s="989"/>
      <c r="J107" s="989"/>
      <c r="K107" s="990"/>
    </row>
    <row r="108" spans="1:16" s="998" customFormat="1" ht="15.5">
      <c r="A108" s="991" t="s">
        <v>1036</v>
      </c>
      <c r="B108" s="992"/>
      <c r="C108" s="993" t="str">
        <f>IF($B$4="ED","20/21 Prices","18/19 Prices")</f>
        <v>18/19 Prices</v>
      </c>
      <c r="D108" s="1010">
        <f>D105/D107</f>
        <v>82.6055160881413</v>
      </c>
      <c r="E108" s="1010">
        <f>E105/E107</f>
        <v>0</v>
      </c>
      <c r="F108" s="994"/>
      <c r="G108" s="995" t="s">
        <v>1040</v>
      </c>
      <c r="H108" s="1012">
        <f>H105/H107</f>
        <v>13.366697603441811</v>
      </c>
      <c r="I108" s="996"/>
      <c r="J108" s="1013">
        <f>IF(OR(B$11="No Filing Date","Enter Filing Date"),"Error in Filing Date",IF('R8a - Tax Reconciliation'!B$11="Original Filing",D108-H108,E108-H108))</f>
        <v>69.238818484699493</v>
      </c>
      <c r="K108" s="997"/>
      <c r="L108" s="997"/>
      <c r="M108" s="997"/>
      <c r="N108" s="997"/>
      <c r="O108" s="997"/>
      <c r="P108" s="997"/>
    </row>
    <row r="109" spans="1:16">
      <c r="C109" s="999"/>
      <c r="D109" s="947"/>
      <c r="E109" s="947"/>
      <c r="F109" s="947"/>
      <c r="G109" s="948"/>
      <c r="H109" s="921"/>
      <c r="I109" s="947"/>
      <c r="J109" s="947"/>
      <c r="K109" s="948"/>
      <c r="N109" s="898"/>
    </row>
    <row r="110" spans="1:16">
      <c r="D110" s="1000"/>
      <c r="E110" s="1000"/>
      <c r="F110" s="1000"/>
      <c r="G110" s="1001"/>
      <c r="H110" s="1000"/>
      <c r="I110" s="1000"/>
      <c r="J110" s="1000"/>
      <c r="K110" s="1001"/>
      <c r="N110" s="898"/>
    </row>
    <row r="114" spans="2:6">
      <c r="B114" s="1002"/>
    </row>
    <row r="115" spans="2:6">
      <c r="B115" s="1002"/>
    </row>
    <row r="120" spans="2:6">
      <c r="F120" s="1003"/>
    </row>
    <row r="121" spans="2:6">
      <c r="F121" s="1004"/>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7:B107"/>
    <mergeCell ref="A80:B80"/>
    <mergeCell ref="A35:B35"/>
    <mergeCell ref="A36:B36"/>
    <mergeCell ref="A39:B39"/>
    <mergeCell ref="A41:B41"/>
    <mergeCell ref="A42:B42"/>
    <mergeCell ref="A38:B38"/>
    <mergeCell ref="A79:B79"/>
    <mergeCell ref="A91:B91"/>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105"/>
  <sheetViews>
    <sheetView zoomScaleNormal="100" workbookViewId="0">
      <selection activeCell="A4" sqref="A4"/>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Cadent-WM</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0" t="str">
        <f>RIIO_2_start_date+3&amp;"/"&amp;RIGHT(RIIO_2_start_date+4,2)</f>
        <v>2025/26</v>
      </c>
    </row>
    <row r="8" spans="1:15" s="339" customFormat="1"/>
    <row r="9" spans="1:15" s="339" customFormat="1">
      <c r="A9" s="1015" t="s">
        <v>1041</v>
      </c>
      <c r="B9" s="1016"/>
      <c r="C9" s="344"/>
      <c r="D9" s="344"/>
      <c r="E9" s="344"/>
      <c r="F9" s="344"/>
      <c r="G9" s="344"/>
      <c r="H9" s="344"/>
    </row>
    <row r="10" spans="1:15" s="339" customFormat="1"/>
    <row r="11" spans="1:15">
      <c r="B11" s="429" t="s">
        <v>1042</v>
      </c>
      <c r="C11" s="29" t="s">
        <v>522</v>
      </c>
      <c r="D11" s="881">
        <v>37.049999999999997</v>
      </c>
      <c r="E11" s="881">
        <v>66.5</v>
      </c>
      <c r="F11" s="881">
        <v>58.9</v>
      </c>
      <c r="G11" s="881"/>
      <c r="H11" s="881"/>
      <c r="J11" s="339"/>
    </row>
    <row r="12" spans="1:15">
      <c r="B12" s="411" t="s">
        <v>1043</v>
      </c>
      <c r="C12" s="429"/>
      <c r="D12" s="858"/>
      <c r="E12" s="858"/>
      <c r="F12" s="858"/>
      <c r="G12" s="858"/>
      <c r="H12" s="858"/>
      <c r="J12" s="339"/>
    </row>
    <row r="13" spans="1:15">
      <c r="B13" s="564" t="s">
        <v>1044</v>
      </c>
      <c r="C13" s="29" t="s">
        <v>522</v>
      </c>
      <c r="D13" s="881">
        <v>0</v>
      </c>
      <c r="E13" s="881">
        <v>0</v>
      </c>
      <c r="F13" s="881">
        <v>0</v>
      </c>
      <c r="G13" s="881"/>
      <c r="H13" s="881"/>
      <c r="J13" s="339"/>
    </row>
    <row r="14" spans="1:15">
      <c r="B14" s="564" t="s">
        <v>1044</v>
      </c>
      <c r="C14" s="29" t="s">
        <v>522</v>
      </c>
      <c r="D14" s="881">
        <v>0</v>
      </c>
      <c r="E14" s="881">
        <v>0</v>
      </c>
      <c r="F14" s="881">
        <v>0</v>
      </c>
      <c r="G14" s="881"/>
      <c r="H14" s="881"/>
      <c r="J14" s="339"/>
    </row>
    <row r="15" spans="1:15">
      <c r="B15" s="564" t="s">
        <v>945</v>
      </c>
      <c r="C15" s="29" t="s">
        <v>522</v>
      </c>
      <c r="D15" s="881">
        <v>0</v>
      </c>
      <c r="E15" s="881">
        <v>0</v>
      </c>
      <c r="F15" s="881">
        <v>0</v>
      </c>
      <c r="G15" s="881"/>
      <c r="H15" s="881"/>
      <c r="J15" s="339"/>
      <c r="N15" s="1017"/>
    </row>
    <row r="16" spans="1:15">
      <c r="B16" s="429" t="s">
        <v>1045</v>
      </c>
      <c r="C16" s="29" t="s">
        <v>522</v>
      </c>
      <c r="D16" s="891">
        <f>D11-SUM(D13:D15)</f>
        <v>37.049999999999997</v>
      </c>
      <c r="E16" s="891">
        <f t="shared" ref="E16:H16" si="2">E11-SUM(E13:E15)</f>
        <v>66.5</v>
      </c>
      <c r="F16" s="891">
        <f t="shared" si="2"/>
        <v>58.9</v>
      </c>
      <c r="G16" s="891">
        <f t="shared" si="2"/>
        <v>0</v>
      </c>
      <c r="H16" s="891">
        <f t="shared" si="2"/>
        <v>0</v>
      </c>
      <c r="J16" s="339"/>
      <c r="O16" s="1018"/>
    </row>
    <row r="17" spans="1:14">
      <c r="C17" s="429"/>
      <c r="J17" s="339"/>
      <c r="N17" s="1017"/>
    </row>
    <row r="18" spans="1:14">
      <c r="B18" s="429" t="s">
        <v>1046</v>
      </c>
      <c r="C18" s="29" t="s">
        <v>522</v>
      </c>
      <c r="D18" s="881">
        <v>0</v>
      </c>
      <c r="E18" s="881">
        <v>0</v>
      </c>
      <c r="F18" s="881">
        <v>0</v>
      </c>
      <c r="G18" s="881"/>
      <c r="H18" s="881"/>
      <c r="J18" s="339"/>
    </row>
    <row r="19" spans="1:14">
      <c r="J19" s="339"/>
    </row>
    <row r="22" spans="1:14">
      <c r="A22" s="1015" t="s">
        <v>1047</v>
      </c>
      <c r="B22" s="1019"/>
      <c r="C22" s="344"/>
      <c r="D22" s="344"/>
      <c r="E22" s="344"/>
      <c r="F22" s="344"/>
      <c r="G22" s="344"/>
      <c r="H22" s="344"/>
    </row>
    <row r="23" spans="1:14">
      <c r="D23" s="1401" t="str">
        <f>Reporting_Year&amp;" "&amp;"- Actuals"</f>
        <v>2024 - Actuals</v>
      </c>
      <c r="E23" s="1402"/>
      <c r="F23" s="1402"/>
      <c r="G23" s="1402"/>
      <c r="H23" s="1403"/>
    </row>
    <row r="24" spans="1:14">
      <c r="D24" s="1020" t="s">
        <v>1048</v>
      </c>
      <c r="E24" s="1020" t="s">
        <v>1049</v>
      </c>
      <c r="F24" s="1020" t="s">
        <v>1050</v>
      </c>
      <c r="G24" s="1020" t="s">
        <v>1051</v>
      </c>
      <c r="H24" s="1020" t="s">
        <v>1052</v>
      </c>
    </row>
    <row r="25" spans="1:14" ht="35.15" customHeight="1">
      <c r="C25" s="114" t="s">
        <v>1053</v>
      </c>
      <c r="D25" s="1280" t="s">
        <v>1054</v>
      </c>
      <c r="E25" s="1281" t="s">
        <v>1055</v>
      </c>
      <c r="F25" s="1281" t="s">
        <v>1056</v>
      </c>
      <c r="G25" s="1021"/>
      <c r="H25" s="1021"/>
    </row>
    <row r="26" spans="1:14" ht="44.5" customHeight="1">
      <c r="B26" s="429" t="s">
        <v>1057</v>
      </c>
    </row>
    <row r="27" spans="1:14">
      <c r="B27" s="114" t="s">
        <v>1058</v>
      </c>
      <c r="C27" s="29" t="s">
        <v>522</v>
      </c>
      <c r="D27" s="1282">
        <v>0.12749000000000002</v>
      </c>
      <c r="E27" s="1282">
        <v>7.5430000000000011E-2</v>
      </c>
      <c r="F27" s="1282">
        <v>6.9919999999999996E-2</v>
      </c>
      <c r="G27" s="1023">
        <v>0</v>
      </c>
      <c r="H27" s="1023">
        <v>0</v>
      </c>
    </row>
    <row r="28" spans="1:14">
      <c r="B28" s="114" t="s">
        <v>1059</v>
      </c>
      <c r="C28" s="29" t="s">
        <v>522</v>
      </c>
      <c r="D28" s="1282">
        <v>0</v>
      </c>
      <c r="E28" s="1282">
        <v>0</v>
      </c>
      <c r="F28" s="1282">
        <v>0</v>
      </c>
      <c r="G28" s="1024">
        <v>0</v>
      </c>
      <c r="H28" s="1024">
        <v>0</v>
      </c>
    </row>
    <row r="29" spans="1:14">
      <c r="B29" s="114" t="s">
        <v>1060</v>
      </c>
      <c r="C29" s="29" t="s">
        <v>522</v>
      </c>
      <c r="D29" s="1282">
        <v>1.2160000000000001E-2</v>
      </c>
      <c r="E29" s="1282">
        <v>9.5E-4</v>
      </c>
      <c r="F29" s="1282">
        <v>2.47E-3</v>
      </c>
      <c r="G29" s="1025">
        <v>0</v>
      </c>
      <c r="H29" s="1025">
        <v>0</v>
      </c>
    </row>
    <row r="30" spans="1:14">
      <c r="B30" s="114" t="s">
        <v>1061</v>
      </c>
      <c r="C30" s="29" t="s">
        <v>522</v>
      </c>
      <c r="D30" s="1282">
        <v>1.5390000000000001E-2</v>
      </c>
      <c r="E30" s="1282">
        <v>9.1199999999999996E-3</v>
      </c>
      <c r="F30" s="1282">
        <v>8.5500000000000003E-3</v>
      </c>
      <c r="G30" s="1026">
        <v>0</v>
      </c>
      <c r="H30" s="1026">
        <v>0</v>
      </c>
    </row>
    <row r="31" spans="1:14">
      <c r="B31" s="429" t="s">
        <v>1062</v>
      </c>
      <c r="C31" s="29" t="s">
        <v>522</v>
      </c>
      <c r="D31" s="1038">
        <f>SUM(D27:D30)</f>
        <v>0.15504000000000001</v>
      </c>
      <c r="E31" s="1038">
        <f>SUM(E27:E30)</f>
        <v>8.550000000000002E-2</v>
      </c>
      <c r="F31" s="1038">
        <f>SUM(F27:F30)</f>
        <v>8.0939999999999998E-2</v>
      </c>
      <c r="G31" s="1038">
        <f>SUM(G27:G30)</f>
        <v>0</v>
      </c>
      <c r="H31" s="1038">
        <f>SUM(H27:H30)</f>
        <v>0</v>
      </c>
    </row>
    <row r="32" spans="1:14">
      <c r="B32" s="429" t="s">
        <v>1063</v>
      </c>
      <c r="C32" s="29" t="s">
        <v>522</v>
      </c>
      <c r="D32" s="1027">
        <f>D31</f>
        <v>0.15504000000000001</v>
      </c>
      <c r="E32" s="1027">
        <f>E31</f>
        <v>8.550000000000002E-2</v>
      </c>
      <c r="F32" s="1027">
        <f>F31</f>
        <v>8.0939999999999998E-2</v>
      </c>
      <c r="G32" s="1027">
        <v>0</v>
      </c>
      <c r="H32" s="1027">
        <v>0</v>
      </c>
    </row>
    <row r="33" spans="2:8">
      <c r="B33" s="564"/>
      <c r="D33" s="1028"/>
      <c r="E33" s="1028"/>
      <c r="F33" s="1028"/>
      <c r="G33" s="1028"/>
      <c r="H33" s="1028"/>
    </row>
    <row r="34" spans="2:8">
      <c r="B34" s="429" t="s">
        <v>1064</v>
      </c>
      <c r="D34" s="1028"/>
      <c r="E34" s="1028"/>
      <c r="F34" s="1028"/>
      <c r="G34" s="1028"/>
      <c r="H34" s="1028"/>
    </row>
    <row r="35" spans="2:8">
      <c r="B35" s="114" t="s">
        <v>1065</v>
      </c>
      <c r="C35" s="29" t="s">
        <v>522</v>
      </c>
      <c r="D35" s="1282">
        <v>0</v>
      </c>
      <c r="E35" s="1282">
        <v>0</v>
      </c>
      <c r="F35" s="1282">
        <v>0</v>
      </c>
      <c r="G35" s="1023">
        <v>0</v>
      </c>
      <c r="H35" s="1023">
        <v>0</v>
      </c>
    </row>
    <row r="36" spans="2:8">
      <c r="B36" s="564" t="s">
        <v>945</v>
      </c>
      <c r="C36" s="29" t="s">
        <v>522</v>
      </c>
      <c r="D36" s="1282">
        <v>0</v>
      </c>
      <c r="E36" s="1282">
        <v>0</v>
      </c>
      <c r="F36" s="1282">
        <v>0</v>
      </c>
      <c r="G36" s="1026">
        <v>0</v>
      </c>
      <c r="H36" s="1026">
        <v>0</v>
      </c>
    </row>
    <row r="37" spans="2:8">
      <c r="B37" s="114" t="s">
        <v>1066</v>
      </c>
      <c r="C37" s="29" t="s">
        <v>522</v>
      </c>
      <c r="D37" s="1282">
        <v>0.16302</v>
      </c>
      <c r="E37" s="1282">
        <v>4.9020000000000001E-2</v>
      </c>
      <c r="F37" s="1282">
        <v>4.598E-2</v>
      </c>
      <c r="G37" s="1025">
        <v>0</v>
      </c>
      <c r="H37" s="1025">
        <v>0</v>
      </c>
    </row>
    <row r="38" spans="2:8">
      <c r="B38" s="564" t="s">
        <v>1067</v>
      </c>
      <c r="C38" s="29" t="s">
        <v>522</v>
      </c>
      <c r="D38" s="1282">
        <v>0.18278</v>
      </c>
      <c r="E38" s="1282">
        <v>5.9659999999999998E-2</v>
      </c>
      <c r="F38" s="1282">
        <v>7.8280000000000002E-2</v>
      </c>
      <c r="G38" s="1026">
        <v>0</v>
      </c>
      <c r="H38" s="1026">
        <v>0</v>
      </c>
    </row>
    <row r="39" spans="2:8">
      <c r="B39" s="429" t="s">
        <v>1068</v>
      </c>
      <c r="C39" s="29" t="s">
        <v>522</v>
      </c>
      <c r="D39" s="1039">
        <f t="shared" ref="D39:H39" si="3">SUM(D35:D38)</f>
        <v>0.3458</v>
      </c>
      <c r="E39" s="1039">
        <f t="shared" si="3"/>
        <v>0.10868</v>
      </c>
      <c r="F39" s="1039">
        <f t="shared" si="3"/>
        <v>0.12426000000000001</v>
      </c>
      <c r="G39" s="1039">
        <f t="shared" si="3"/>
        <v>0</v>
      </c>
      <c r="H39" s="1039">
        <f t="shared" si="3"/>
        <v>0</v>
      </c>
    </row>
    <row r="40" spans="2:8">
      <c r="B40" s="429" t="s">
        <v>1063</v>
      </c>
      <c r="C40" s="29" t="s">
        <v>522</v>
      </c>
      <c r="D40" s="1027">
        <f>D39</f>
        <v>0.3458</v>
      </c>
      <c r="E40" s="1027">
        <f>E39</f>
        <v>0.10868</v>
      </c>
      <c r="F40" s="1027">
        <f>F39</f>
        <v>0.12426000000000001</v>
      </c>
      <c r="G40" s="1027">
        <v>0</v>
      </c>
      <c r="H40" s="1027">
        <v>0</v>
      </c>
    </row>
    <row r="41" spans="2:8">
      <c r="D41" s="1028"/>
      <c r="E41" s="1028"/>
      <c r="F41" s="1028"/>
      <c r="G41" s="1028"/>
      <c r="H41" s="1028"/>
    </row>
    <row r="42" spans="2:8">
      <c r="B42" s="429" t="s">
        <v>1069</v>
      </c>
      <c r="C42" s="29" t="s">
        <v>522</v>
      </c>
      <c r="D42" s="1039">
        <f t="shared" ref="D42:H42" si="4">SUM(D31,D39)</f>
        <v>0.50083999999999995</v>
      </c>
      <c r="E42" s="1039">
        <f t="shared" si="4"/>
        <v>0.19418000000000002</v>
      </c>
      <c r="F42" s="1039">
        <f t="shared" si="4"/>
        <v>0.20519999999999999</v>
      </c>
      <c r="G42" s="1039">
        <f t="shared" si="4"/>
        <v>0</v>
      </c>
      <c r="H42" s="1039">
        <f t="shared" si="4"/>
        <v>0</v>
      </c>
    </row>
    <row r="43" spans="2:8">
      <c r="B43" s="429" t="s">
        <v>1070</v>
      </c>
      <c r="C43" s="29" t="s">
        <v>522</v>
      </c>
      <c r="D43" s="1039">
        <f>D32+D40</f>
        <v>0.50083999999999995</v>
      </c>
      <c r="E43" s="1039">
        <f t="shared" ref="E43:H43" si="5">E32+E40</f>
        <v>0.19418000000000002</v>
      </c>
      <c r="F43" s="1039">
        <f t="shared" si="5"/>
        <v>0.20519999999999999</v>
      </c>
      <c r="G43" s="1039">
        <f t="shared" si="5"/>
        <v>0</v>
      </c>
      <c r="H43" s="1039">
        <f t="shared" si="5"/>
        <v>0</v>
      </c>
    </row>
    <row r="44" spans="2:8">
      <c r="D44" s="1028"/>
      <c r="E44" s="1028"/>
      <c r="F44" s="1028"/>
      <c r="G44" s="1028"/>
      <c r="H44" s="1028"/>
    </row>
    <row r="45" spans="2:8">
      <c r="B45" s="429" t="s">
        <v>1071</v>
      </c>
      <c r="D45" s="1028"/>
      <c r="E45" s="1028"/>
      <c r="F45" s="1028"/>
      <c r="G45" s="1028"/>
      <c r="H45" s="1028"/>
    </row>
    <row r="46" spans="2:8">
      <c r="B46" s="114" t="s">
        <v>1072</v>
      </c>
      <c r="C46" s="29" t="s">
        <v>1073</v>
      </c>
      <c r="D46" s="1022">
        <v>0</v>
      </c>
      <c r="E46" s="1023">
        <v>0</v>
      </c>
      <c r="F46" s="1023">
        <v>0</v>
      </c>
      <c r="G46" s="1023">
        <v>0</v>
      </c>
      <c r="H46" s="1023">
        <v>0</v>
      </c>
    </row>
    <row r="47" spans="2:8">
      <c r="B47" s="564" t="s">
        <v>945</v>
      </c>
      <c r="C47" s="29"/>
      <c r="D47" s="1022">
        <v>0</v>
      </c>
      <c r="E47" s="1023">
        <v>0</v>
      </c>
      <c r="F47" s="1023">
        <v>0</v>
      </c>
      <c r="G47" s="1023">
        <v>0</v>
      </c>
      <c r="H47" s="1023">
        <v>0</v>
      </c>
    </row>
    <row r="48" spans="2:8">
      <c r="B48" s="114" t="s">
        <v>1074</v>
      </c>
      <c r="C48" s="29" t="s">
        <v>486</v>
      </c>
      <c r="D48" s="1022">
        <v>0</v>
      </c>
      <c r="E48" s="1023">
        <v>0</v>
      </c>
      <c r="F48" s="1023">
        <v>0</v>
      </c>
      <c r="G48" s="1023">
        <v>0</v>
      </c>
      <c r="H48" s="1023">
        <v>0</v>
      </c>
    </row>
    <row r="49" spans="2:14">
      <c r="B49" s="204" t="s">
        <v>1075</v>
      </c>
      <c r="C49" s="29" t="s">
        <v>486</v>
      </c>
      <c r="D49" s="1022">
        <v>0</v>
      </c>
      <c r="E49" s="1023">
        <v>0</v>
      </c>
      <c r="F49" s="1023">
        <v>0</v>
      </c>
      <c r="G49" s="1023">
        <v>0</v>
      </c>
      <c r="H49" s="1023">
        <v>0</v>
      </c>
    </row>
    <row r="50" spans="2:14">
      <c r="B50" s="429" t="s">
        <v>1076</v>
      </c>
      <c r="C50" s="29" t="s">
        <v>522</v>
      </c>
      <c r="D50" s="1022">
        <v>0</v>
      </c>
      <c r="E50" s="1023">
        <v>0</v>
      </c>
      <c r="F50" s="1023">
        <v>0</v>
      </c>
      <c r="G50" s="1023">
        <v>0</v>
      </c>
      <c r="H50" s="1023">
        <v>0</v>
      </c>
    </row>
    <row r="51" spans="2:14">
      <c r="B51" s="204" t="s">
        <v>1077</v>
      </c>
      <c r="C51" s="29" t="s">
        <v>1078</v>
      </c>
      <c r="D51" s="1022">
        <v>0</v>
      </c>
      <c r="E51" s="1023">
        <v>0</v>
      </c>
      <c r="F51" s="1023">
        <v>0</v>
      </c>
      <c r="G51" s="1023">
        <v>0</v>
      </c>
      <c r="H51" s="1023">
        <v>0</v>
      </c>
    </row>
    <row r="52" spans="2:14">
      <c r="B52" s="204" t="s">
        <v>1079</v>
      </c>
      <c r="C52" s="29" t="s">
        <v>1080</v>
      </c>
      <c r="D52" s="1022">
        <v>0</v>
      </c>
      <c r="E52" s="1023">
        <v>0</v>
      </c>
      <c r="F52" s="1023">
        <v>0</v>
      </c>
      <c r="G52" s="1023">
        <v>0</v>
      </c>
      <c r="H52" s="1023">
        <v>0</v>
      </c>
    </row>
    <row r="53" spans="2:14">
      <c r="B53" s="204" t="s">
        <v>1081</v>
      </c>
      <c r="C53" s="29" t="s">
        <v>1078</v>
      </c>
      <c r="D53" s="1022">
        <v>0</v>
      </c>
      <c r="E53" s="1023">
        <v>0</v>
      </c>
      <c r="F53" s="1023">
        <v>0</v>
      </c>
      <c r="G53" s="1023">
        <v>0</v>
      </c>
      <c r="H53" s="1023">
        <v>0</v>
      </c>
    </row>
    <row r="54" spans="2:14">
      <c r="B54" s="429" t="s">
        <v>1082</v>
      </c>
      <c r="C54" s="29" t="s">
        <v>522</v>
      </c>
      <c r="D54" s="1040">
        <f>D52*D53</f>
        <v>0</v>
      </c>
      <c r="E54" s="1040">
        <f t="shared" ref="E54:H54" si="6">E52*E53</f>
        <v>0</v>
      </c>
      <c r="F54" s="1040">
        <f t="shared" si="6"/>
        <v>0</v>
      </c>
      <c r="G54" s="1040">
        <f t="shared" si="6"/>
        <v>0</v>
      </c>
      <c r="H54" s="1040">
        <f t="shared" si="6"/>
        <v>0</v>
      </c>
    </row>
    <row r="55" spans="2:14">
      <c r="C55" s="29"/>
      <c r="D55" s="1028"/>
      <c r="E55" s="1028"/>
      <c r="F55" s="1028"/>
      <c r="G55" s="1028"/>
      <c r="H55" s="1028"/>
    </row>
    <row r="56" spans="2:14">
      <c r="B56" s="429" t="s">
        <v>1083</v>
      </c>
      <c r="C56" s="29" t="s">
        <v>522</v>
      </c>
      <c r="D56" s="1022">
        <v>0</v>
      </c>
      <c r="E56" s="1023">
        <v>0</v>
      </c>
      <c r="F56" s="1023">
        <v>0</v>
      </c>
      <c r="G56" s="1023">
        <v>0</v>
      </c>
      <c r="H56" s="1023">
        <v>0</v>
      </c>
    </row>
    <row r="57" spans="2:14">
      <c r="B57" s="429"/>
      <c r="C57" s="429"/>
      <c r="D57" s="1029"/>
      <c r="E57" s="1029"/>
      <c r="F57" s="1029"/>
      <c r="G57" s="1029"/>
      <c r="H57" s="1029"/>
      <c r="I57" s="429"/>
      <c r="J57" s="429"/>
      <c r="K57" s="429"/>
      <c r="L57" s="429"/>
      <c r="M57" s="429"/>
      <c r="N57" s="429"/>
    </row>
    <row r="58" spans="2:14">
      <c r="B58" s="429" t="s">
        <v>1084</v>
      </c>
      <c r="C58" s="29"/>
      <c r="D58" s="1040">
        <f>D50+D54+D56</f>
        <v>0</v>
      </c>
      <c r="E58" s="1040">
        <f>E50+E54+E56</f>
        <v>0</v>
      </c>
      <c r="F58" s="1040">
        <f>F50+F54+F56</f>
        <v>0</v>
      </c>
      <c r="G58" s="1040">
        <f>G50+G54+G56</f>
        <v>0</v>
      </c>
      <c r="H58" s="1040">
        <f>H50+H54+H56</f>
        <v>0</v>
      </c>
    </row>
    <row r="59" spans="2:14">
      <c r="B59" s="429" t="s">
        <v>1063</v>
      </c>
      <c r="C59" s="29" t="s">
        <v>522</v>
      </c>
      <c r="D59" s="1022">
        <v>0</v>
      </c>
      <c r="E59" s="1023">
        <v>0</v>
      </c>
      <c r="F59" s="1023">
        <v>0</v>
      </c>
      <c r="G59" s="1023">
        <v>0</v>
      </c>
      <c r="H59" s="1023">
        <v>0</v>
      </c>
    </row>
    <row r="60" spans="2:14">
      <c r="B60" s="429"/>
      <c r="C60" s="29"/>
      <c r="D60" s="1029">
        <v>0</v>
      </c>
      <c r="E60" s="1029"/>
      <c r="F60" s="1029"/>
      <c r="G60" s="1029"/>
      <c r="H60" s="1029"/>
      <c r="J60" s="429"/>
      <c r="K60" s="429"/>
    </row>
    <row r="61" spans="2:14">
      <c r="B61" s="429" t="s">
        <v>1085</v>
      </c>
      <c r="C61" s="29" t="s">
        <v>522</v>
      </c>
      <c r="D61" s="1040">
        <f>D42+D58</f>
        <v>0.50083999999999995</v>
      </c>
      <c r="E61" s="1040">
        <f t="shared" ref="E61:H61" si="7">E42+E58</f>
        <v>0.19418000000000002</v>
      </c>
      <c r="F61" s="1040">
        <f t="shared" si="7"/>
        <v>0.20519999999999999</v>
      </c>
      <c r="G61" s="1040">
        <f t="shared" si="7"/>
        <v>0</v>
      </c>
      <c r="H61" s="1040">
        <f t="shared" si="7"/>
        <v>0</v>
      </c>
    </row>
    <row r="62" spans="2:14">
      <c r="B62" s="429" t="s">
        <v>1086</v>
      </c>
      <c r="C62" s="29" t="s">
        <v>522</v>
      </c>
      <c r="D62" s="1040">
        <f>D43+D59</f>
        <v>0.50083999999999995</v>
      </c>
      <c r="E62" s="1040">
        <f t="shared" ref="E62:H62" si="8">E43+E59</f>
        <v>0.19418000000000002</v>
      </c>
      <c r="F62" s="1040">
        <f t="shared" si="8"/>
        <v>0.20519999999999999</v>
      </c>
      <c r="G62" s="1040">
        <f t="shared" si="8"/>
        <v>0</v>
      </c>
      <c r="H62" s="1040">
        <f t="shared" si="8"/>
        <v>0</v>
      </c>
      <c r="J62" s="429"/>
    </row>
    <row r="63" spans="2:14">
      <c r="B63" s="429"/>
      <c r="C63" s="29"/>
      <c r="D63" s="544"/>
      <c r="E63" s="544"/>
      <c r="F63" s="544"/>
      <c r="G63" s="544"/>
      <c r="H63" s="544"/>
      <c r="J63" s="429"/>
    </row>
    <row r="64" spans="2:14">
      <c r="B64" s="429" t="s">
        <v>1087</v>
      </c>
      <c r="C64" s="29"/>
      <c r="D64" s="544"/>
      <c r="E64" s="544"/>
      <c r="F64" s="544"/>
      <c r="G64" s="544"/>
      <c r="H64" s="544"/>
      <c r="I64" s="544"/>
      <c r="J64" s="544"/>
      <c r="K64" s="544"/>
    </row>
    <row r="65" spans="1:12">
      <c r="B65" s="114" t="s">
        <v>1088</v>
      </c>
      <c r="C65" s="29"/>
      <c r="D65" s="1282" t="s">
        <v>1225</v>
      </c>
      <c r="E65" s="544"/>
      <c r="F65" s="544"/>
      <c r="G65" s="544"/>
      <c r="H65" s="544"/>
      <c r="I65" s="544"/>
      <c r="J65" s="544"/>
      <c r="K65" s="544"/>
    </row>
    <row r="66" spans="1:12">
      <c r="B66" s="114" t="s">
        <v>1089</v>
      </c>
      <c r="C66" s="29"/>
      <c r="D66" s="1282" t="s">
        <v>1226</v>
      </c>
      <c r="E66" s="544"/>
      <c r="F66" s="544"/>
      <c r="G66" s="544"/>
      <c r="H66" s="544"/>
      <c r="I66" s="544"/>
      <c r="J66" s="544"/>
      <c r="K66" s="544"/>
    </row>
    <row r="67" spans="1:12">
      <c r="B67" s="114" t="s">
        <v>1090</v>
      </c>
      <c r="C67" s="29"/>
      <c r="D67" s="1282" t="s">
        <v>1227</v>
      </c>
      <c r="E67" s="544"/>
      <c r="F67" s="544"/>
      <c r="G67" s="544"/>
      <c r="H67" s="544"/>
      <c r="I67" s="544"/>
      <c r="J67" s="544"/>
      <c r="K67" s="544"/>
    </row>
    <row r="68" spans="1:12">
      <c r="B68" s="429"/>
      <c r="C68" s="29"/>
      <c r="D68" s="544"/>
      <c r="E68" s="544"/>
      <c r="F68" s="544"/>
      <c r="G68" s="544">
        <v>0</v>
      </c>
      <c r="H68" s="544">
        <v>0</v>
      </c>
      <c r="I68" s="544"/>
      <c r="J68" s="544"/>
      <c r="K68" s="544"/>
    </row>
    <row r="69" spans="1:12">
      <c r="A69" s="428" t="s">
        <v>1091</v>
      </c>
      <c r="B69" s="429"/>
      <c r="C69" s="29"/>
      <c r="D69" s="29"/>
      <c r="E69" s="544"/>
      <c r="F69" s="544"/>
      <c r="G69" s="544"/>
      <c r="H69" s="544"/>
      <c r="I69" s="544"/>
      <c r="J69" s="544"/>
      <c r="K69" s="544"/>
      <c r="L69" s="29"/>
    </row>
    <row r="70" spans="1:12">
      <c r="A70" s="428" t="s">
        <v>1092</v>
      </c>
      <c r="B70" s="429"/>
      <c r="C70" s="429"/>
      <c r="D70" s="429"/>
      <c r="E70" s="544"/>
      <c r="F70" s="429"/>
      <c r="G70" s="429"/>
      <c r="H70" s="429"/>
      <c r="I70" s="429"/>
      <c r="J70" s="429"/>
    </row>
    <row r="71" spans="1:12">
      <c r="A71" s="428"/>
      <c r="B71" s="429"/>
      <c r="C71" s="429"/>
      <c r="D71" s="429"/>
      <c r="E71" s="429"/>
      <c r="F71" s="429"/>
      <c r="G71" s="429"/>
      <c r="H71" s="429"/>
      <c r="I71" s="429"/>
      <c r="J71" s="429"/>
    </row>
    <row r="72" spans="1:12">
      <c r="B72" s="429" t="s">
        <v>1093</v>
      </c>
    </row>
    <row r="73" spans="1:12">
      <c r="B73" s="429"/>
    </row>
    <row r="74" spans="1:12">
      <c r="B74" s="1030"/>
      <c r="C74" s="1031"/>
      <c r="D74" s="1031"/>
      <c r="E74" s="1031"/>
      <c r="F74" s="1031"/>
      <c r="G74" s="1032">
        <v>0</v>
      </c>
      <c r="H74" s="1033">
        <v>0</v>
      </c>
    </row>
    <row r="75" spans="1:12">
      <c r="B75" s="1034"/>
      <c r="C75" s="1035"/>
      <c r="D75" s="434"/>
      <c r="E75" s="435"/>
      <c r="F75" s="435"/>
      <c r="G75" s="435">
        <v>0</v>
      </c>
      <c r="H75" s="436">
        <v>0</v>
      </c>
    </row>
    <row r="76" spans="1:12">
      <c r="B76" s="1034"/>
      <c r="C76" s="1035"/>
      <c r="D76" s="434"/>
      <c r="E76" s="435"/>
      <c r="F76" s="435"/>
      <c r="G76" s="435">
        <v>0</v>
      </c>
      <c r="H76" s="436">
        <v>0</v>
      </c>
    </row>
    <row r="77" spans="1:12">
      <c r="B77" s="1034"/>
      <c r="C77" s="1035"/>
      <c r="D77" s="434"/>
      <c r="E77" s="435"/>
      <c r="F77" s="435"/>
      <c r="G77" s="435">
        <v>0</v>
      </c>
      <c r="H77" s="436">
        <v>0</v>
      </c>
    </row>
    <row r="78" spans="1:12">
      <c r="B78" s="1034"/>
      <c r="C78" s="1035"/>
      <c r="D78" s="434"/>
      <c r="E78" s="435"/>
      <c r="F78" s="435"/>
      <c r="G78" s="435">
        <v>0</v>
      </c>
      <c r="H78" s="436">
        <v>0</v>
      </c>
    </row>
    <row r="79" spans="1:12">
      <c r="B79" s="1036"/>
      <c r="C79" s="1037"/>
      <c r="D79" s="439"/>
      <c r="E79" s="440"/>
      <c r="F79" s="440"/>
      <c r="G79" s="440"/>
      <c r="H79" s="441"/>
    </row>
    <row r="81" spans="7:8">
      <c r="G81" s="114">
        <v>0</v>
      </c>
      <c r="H81" s="114">
        <v>0</v>
      </c>
    </row>
    <row r="83" spans="7:8">
      <c r="G83" s="114">
        <v>0</v>
      </c>
      <c r="H83" s="114">
        <v>0</v>
      </c>
    </row>
    <row r="85" spans="7:8">
      <c r="G85" s="114">
        <v>0</v>
      </c>
      <c r="H85" s="114">
        <v>0</v>
      </c>
    </row>
    <row r="86" spans="7:8">
      <c r="G86" s="114">
        <v>0</v>
      </c>
      <c r="H86" s="114">
        <v>0</v>
      </c>
    </row>
    <row r="87" spans="7:8">
      <c r="G87" s="114">
        <v>0</v>
      </c>
      <c r="H87" s="114">
        <v>0</v>
      </c>
    </row>
    <row r="89" spans="7:8">
      <c r="G89" s="114">
        <v>0</v>
      </c>
      <c r="H89" s="114">
        <v>0</v>
      </c>
    </row>
    <row r="90" spans="7:8">
      <c r="G90" s="114">
        <v>0</v>
      </c>
      <c r="H90" s="114">
        <v>0</v>
      </c>
    </row>
    <row r="104" spans="7:8">
      <c r="G104" s="114">
        <v>0</v>
      </c>
      <c r="H104" s="114">
        <v>0</v>
      </c>
    </row>
    <row r="105" spans="7:8">
      <c r="G105" s="114">
        <v>0</v>
      </c>
      <c r="H105" s="114">
        <v>0</v>
      </c>
    </row>
  </sheetData>
  <sheetProtection insertRows="0" sort="0" autoFilter="0" pivotTables="0"/>
  <mergeCells count="1">
    <mergeCell ref="D23:H23"/>
  </mergeCells>
  <phoneticPr fontId="260" type="noConversion"/>
  <conditionalFormatting sqref="D65:D67">
    <cfRule type="expression" dxfId="38" priority="1">
      <formula>D$5="Forecast"</formula>
    </cfRule>
  </conditionalFormatting>
  <conditionalFormatting sqref="D27:F30">
    <cfRule type="expression" dxfId="37" priority="3">
      <formula>D$5="Forecast"</formula>
    </cfRule>
  </conditionalFormatting>
  <conditionalFormatting sqref="D35:F38">
    <cfRule type="expression" dxfId="36" priority="2">
      <formula>D$5="Forecast"</formula>
    </cfRule>
  </conditionalFormatting>
  <conditionalFormatting sqref="D5:G6">
    <cfRule type="expression" dxfId="35" priority="38">
      <formula>AND(D$5="Actuals",E$5="N/A")</formula>
    </cfRule>
  </conditionalFormatting>
  <conditionalFormatting sqref="D5:H6 G27:H30 D31:H32 D40:H40 D46:H54 D61:H63 D64:K64 F65:K69 E65:E70 D68">
    <cfRule type="expression" dxfId="34" priority="30">
      <formula>D$5="N/A"</formula>
    </cfRule>
  </conditionalFormatting>
  <conditionalFormatting sqref="D7:H7">
    <cfRule type="expression" dxfId="33" priority="13">
      <formula>AND(D$5="Actuals",E$5="Forecast")</formula>
    </cfRule>
  </conditionalFormatting>
  <conditionalFormatting sqref="D11:H11">
    <cfRule type="expression" dxfId="32" priority="8">
      <formula>D$5="Forecast"</formula>
    </cfRule>
  </conditionalFormatting>
  <conditionalFormatting sqref="D13:H16">
    <cfRule type="expression" dxfId="31" priority="4">
      <formula>D$5="Forecast"</formula>
    </cfRule>
  </conditionalFormatting>
  <conditionalFormatting sqref="D18:H18">
    <cfRule type="expression" dxfId="30" priority="5">
      <formula>D$5="Forecast"</formula>
    </cfRule>
  </conditionalFormatting>
  <conditionalFormatting sqref="D20:H20">
    <cfRule type="expression" priority="24">
      <formula>D$5="N/A"</formula>
    </cfRule>
  </conditionalFormatting>
  <conditionalFormatting sqref="D56:H56 D58:H59">
    <cfRule type="expression" dxfId="29" priority="16">
      <formula>D$5="N/A"</formula>
    </cfRule>
  </conditionalFormatting>
  <conditionalFormatting sqref="G35:H38">
    <cfRule type="expression" dxfId="28" priority="14">
      <formula>G$5="N/A"</formula>
    </cfRule>
  </conditionalFormatting>
  <conditionalFormatting sqref="H5:H6">
    <cfRule type="expression" dxfId="27" priority="277">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activeCell="A5" sqref="A5"/>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1094</v>
      </c>
      <c r="B1" s="326"/>
      <c r="C1" s="327"/>
      <c r="D1" s="327"/>
      <c r="E1" s="327"/>
      <c r="F1" s="327"/>
      <c r="G1" s="327"/>
      <c r="H1" s="327"/>
      <c r="I1" s="456"/>
    </row>
    <row r="2" spans="1:10" ht="20">
      <c r="A2" s="329" t="str">
        <f>Licensee</f>
        <v>Cadent-WM</v>
      </c>
      <c r="B2" s="331"/>
      <c r="C2" s="332"/>
      <c r="D2" s="332"/>
      <c r="E2" s="332"/>
      <c r="F2" s="332"/>
      <c r="G2" s="332"/>
      <c r="H2" s="332"/>
      <c r="I2" s="334"/>
    </row>
    <row r="3" spans="1:10" ht="20">
      <c r="A3" s="331">
        <f>Reporting_Year</f>
        <v>2024</v>
      </c>
      <c r="B3" s="553"/>
      <c r="C3" s="335"/>
      <c r="D3" s="335"/>
      <c r="E3" s="335"/>
      <c r="F3" s="335"/>
      <c r="G3" s="335"/>
      <c r="H3" s="335"/>
      <c r="I3" s="337"/>
    </row>
    <row r="4" spans="1:10" s="339" customFormat="1" ht="12.75" customHeight="1">
      <c r="B4" s="480"/>
      <c r="C4" s="114"/>
      <c r="D4" s="775"/>
      <c r="E4" s="775"/>
    </row>
    <row r="5" spans="1:10" s="339" customFormat="1" ht="12.75" customHeight="1">
      <c r="B5" s="480"/>
      <c r="C5" s="114"/>
      <c r="D5" s="1041" t="str">
        <f t="shared" ref="D5:H5" si="0">IF(D6&lt;=Reporting_Year,"Actuals","Forecast")</f>
        <v>Actuals</v>
      </c>
      <c r="E5" s="1041" t="str">
        <f t="shared" si="0"/>
        <v>Actuals</v>
      </c>
      <c r="F5" s="1041" t="str">
        <f t="shared" si="0"/>
        <v>Actuals</v>
      </c>
      <c r="G5" s="1041" t="str">
        <f t="shared" si="0"/>
        <v>Forecast</v>
      </c>
      <c r="H5" s="1041" t="str">
        <f t="shared" si="0"/>
        <v>Forecast</v>
      </c>
      <c r="I5" s="467"/>
    </row>
    <row r="6" spans="1:10" s="339" customFormat="1">
      <c r="C6" s="114"/>
      <c r="D6" s="560">
        <f>'RFPR cover'!$C$6</f>
        <v>2022</v>
      </c>
      <c r="E6" s="560">
        <f>D6+1</f>
        <v>2023</v>
      </c>
      <c r="F6" s="560">
        <f t="shared" ref="F6:H6" si="1">E6+1</f>
        <v>2024</v>
      </c>
      <c r="G6" s="560">
        <f t="shared" si="1"/>
        <v>2025</v>
      </c>
      <c r="H6" s="560">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0" t="str">
        <f>RIIO_2_start_date+3&amp;"/"&amp;RIGHT(RIIO_2_start_date+4,2)</f>
        <v>2025/26</v>
      </c>
      <c r="I7" s="467"/>
    </row>
    <row r="8" spans="1:10" s="339" customFormat="1">
      <c r="I8" s="467"/>
    </row>
    <row r="9" spans="1:10" s="339" customFormat="1">
      <c r="B9" s="1042" t="s">
        <v>1095</v>
      </c>
      <c r="C9" s="392"/>
      <c r="D9" s="393"/>
      <c r="E9" s="393"/>
      <c r="F9" s="393"/>
      <c r="G9" s="393"/>
      <c r="H9" s="393"/>
      <c r="I9" s="467"/>
    </row>
    <row r="10" spans="1:10" s="339" customFormat="1">
      <c r="B10" s="482"/>
      <c r="C10" s="29"/>
      <c r="I10" s="467"/>
    </row>
    <row r="11" spans="1:10" s="339" customFormat="1">
      <c r="B11" s="482"/>
      <c r="C11" s="29"/>
      <c r="I11" s="467"/>
    </row>
    <row r="12" spans="1:10">
      <c r="B12" s="429" t="s">
        <v>1096</v>
      </c>
      <c r="C12" s="29" t="s">
        <v>522</v>
      </c>
      <c r="D12" s="1043">
        <f t="shared" ref="D12:E12" si="2">SUM(D14:D15)</f>
        <v>4.0838824620899148</v>
      </c>
      <c r="E12" s="1043">
        <f t="shared" si="2"/>
        <v>4.0629984550695024</v>
      </c>
      <c r="F12" s="1043">
        <f>SUM(F14:F15)</f>
        <v>0</v>
      </c>
      <c r="G12" s="1043"/>
      <c r="H12" s="1043"/>
      <c r="I12" s="467"/>
      <c r="J12" s="339"/>
    </row>
    <row r="13" spans="1:10">
      <c r="B13" s="562" t="s">
        <v>1097</v>
      </c>
      <c r="D13" s="858"/>
      <c r="E13" s="858"/>
      <c r="F13" s="858"/>
      <c r="G13" s="858"/>
      <c r="H13" s="858"/>
      <c r="J13" s="339"/>
    </row>
    <row r="14" spans="1:10">
      <c r="B14" s="114" t="s">
        <v>1098</v>
      </c>
      <c r="C14" s="29" t="s">
        <v>522</v>
      </c>
      <c r="D14" s="1043">
        <v>5.7517872397326855</v>
      </c>
      <c r="E14" s="1043">
        <v>5.7223739629771577</v>
      </c>
      <c r="F14" s="1043">
        <v>0</v>
      </c>
      <c r="G14" s="1043"/>
      <c r="H14" s="1043"/>
      <c r="I14" s="467"/>
      <c r="J14" s="339"/>
    </row>
    <row r="15" spans="1:10">
      <c r="B15" s="114" t="s">
        <v>1099</v>
      </c>
      <c r="C15" s="29" t="s">
        <v>522</v>
      </c>
      <c r="D15" s="1043">
        <v>-1.6679047776427705</v>
      </c>
      <c r="E15" s="1043">
        <v>-1.6593755079076551</v>
      </c>
      <c r="F15" s="1043">
        <v>0</v>
      </c>
      <c r="G15" s="1043"/>
      <c r="H15" s="1043"/>
      <c r="I15" s="467"/>
      <c r="J15" s="339"/>
    </row>
    <row r="16" spans="1:10">
      <c r="D16" s="858"/>
      <c r="E16" s="858"/>
      <c r="F16" s="858"/>
      <c r="G16" s="858"/>
      <c r="H16" s="858"/>
      <c r="I16" s="467"/>
      <c r="J16" s="339"/>
    </row>
    <row r="17" spans="2:10">
      <c r="D17" s="858"/>
      <c r="E17" s="858"/>
      <c r="F17" s="858"/>
      <c r="G17" s="858"/>
      <c r="H17" s="858"/>
      <c r="I17" s="467"/>
      <c r="J17" s="339"/>
    </row>
    <row r="18" spans="2:10">
      <c r="B18" s="114" t="s">
        <v>1098</v>
      </c>
      <c r="C18" s="839" t="str">
        <f>Data!$C$9</f>
        <v>£m 18/19</v>
      </c>
      <c r="D18" s="240">
        <f t="shared" ref="D18:H18" si="3">D$14/INDEX(real_to_nominal_CF,MATCH(D6,calendar_year,0))</f>
        <v>5.3022442537650347</v>
      </c>
      <c r="E18" s="240">
        <f t="shared" si="3"/>
        <v>4.8496181752233003</v>
      </c>
      <c r="F18" s="240">
        <f t="shared" si="3"/>
        <v>0</v>
      </c>
      <c r="G18" s="240">
        <f t="shared" si="3"/>
        <v>0</v>
      </c>
      <c r="H18" s="240">
        <f t="shared" si="3"/>
        <v>0</v>
      </c>
      <c r="I18" s="467"/>
      <c r="J18" s="339"/>
    </row>
    <row r="19" spans="2:10">
      <c r="D19" s="858"/>
      <c r="E19" s="858"/>
      <c r="F19" s="858"/>
      <c r="G19" s="858"/>
      <c r="H19" s="858"/>
      <c r="I19" s="467"/>
      <c r="J19" s="339"/>
    </row>
    <row r="20" spans="2:10">
      <c r="D20" s="858"/>
      <c r="E20" s="858"/>
      <c r="F20" s="858"/>
      <c r="G20" s="858"/>
      <c r="H20" s="858"/>
      <c r="I20" s="467"/>
      <c r="J20" s="339"/>
    </row>
    <row r="21" spans="2:10" s="339" customFormat="1">
      <c r="B21" s="429" t="s">
        <v>1100</v>
      </c>
      <c r="C21" s="839" t="str">
        <f>Data!$C$9</f>
        <v>£m 18/19</v>
      </c>
      <c r="D21" s="848">
        <v>7.4049810245221819</v>
      </c>
      <c r="E21" s="848">
        <v>5.1226641566233342</v>
      </c>
      <c r="F21" s="848">
        <v>0</v>
      </c>
      <c r="G21" s="848">
        <v>-2.2999999999999998</v>
      </c>
      <c r="H21" s="848">
        <v>-2.2999999999999998</v>
      </c>
      <c r="I21" s="339" t="s">
        <v>1151</v>
      </c>
    </row>
    <row r="22" spans="2:10" s="339" customFormat="1">
      <c r="B22" s="114" t="s">
        <v>1101</v>
      </c>
      <c r="C22" s="839" t="str">
        <f>Data!$C$9</f>
        <v>£m 18/19</v>
      </c>
      <c r="D22" s="1043">
        <v>3.1</v>
      </c>
      <c r="E22" s="1043">
        <v>3.1</v>
      </c>
      <c r="F22" s="774">
        <v>0</v>
      </c>
      <c r="G22" s="774">
        <v>-2.2999999999999998</v>
      </c>
      <c r="H22" s="774">
        <v>-2.2999999999999998</v>
      </c>
      <c r="I22" s="467"/>
    </row>
    <row r="23" spans="2:10" s="339" customFormat="1">
      <c r="B23" s="429" t="s">
        <v>1102</v>
      </c>
      <c r="C23" s="839" t="str">
        <f>Data!$C$9</f>
        <v>£m 18/19</v>
      </c>
      <c r="D23" s="240">
        <f>D21-D22</f>
        <v>4.3049810245221813</v>
      </c>
      <c r="E23" s="240">
        <f t="shared" ref="E23:H23" si="4">E21-E22</f>
        <v>2.0226641566233341</v>
      </c>
      <c r="F23" s="240">
        <f t="shared" si="4"/>
        <v>0</v>
      </c>
      <c r="G23" s="240">
        <f t="shared" si="4"/>
        <v>0</v>
      </c>
      <c r="H23" s="240">
        <f t="shared" si="4"/>
        <v>0</v>
      </c>
      <c r="I23" s="467"/>
    </row>
    <row r="24" spans="2:10" s="339" customFormat="1">
      <c r="B24" s="429"/>
      <c r="C24" s="429"/>
      <c r="D24" s="429"/>
      <c r="E24" s="429"/>
      <c r="F24" s="429"/>
      <c r="G24" s="429"/>
      <c r="H24" s="429"/>
      <c r="I24" s="467"/>
    </row>
    <row r="25" spans="2:10" s="339" customFormat="1">
      <c r="B25" s="429"/>
      <c r="C25" s="429"/>
      <c r="D25" s="1404" t="s">
        <v>1103</v>
      </c>
      <c r="E25" s="429"/>
      <c r="F25" s="429"/>
      <c r="G25" s="429"/>
      <c r="H25" s="429"/>
      <c r="I25" s="467"/>
    </row>
    <row r="26" spans="2:10" s="339" customFormat="1" ht="12.75" customHeight="1">
      <c r="B26" s="429"/>
      <c r="C26" s="429"/>
      <c r="D26" s="1405"/>
      <c r="E26" s="429"/>
      <c r="F26" s="429"/>
      <c r="G26" s="429"/>
      <c r="H26" s="429"/>
      <c r="I26" s="467"/>
    </row>
    <row r="27" spans="2:10">
      <c r="C27" s="429"/>
      <c r="D27" s="1406"/>
      <c r="E27" s="429"/>
      <c r="F27" s="429"/>
      <c r="I27" s="467"/>
    </row>
    <row r="28" spans="2:10">
      <c r="B28" s="429" t="s">
        <v>1104</v>
      </c>
      <c r="C28" s="429"/>
      <c r="D28" s="1283">
        <v>44651</v>
      </c>
      <c r="E28" s="429"/>
      <c r="F28" s="429"/>
      <c r="I28" s="467"/>
    </row>
    <row r="29" spans="2:10">
      <c r="B29" s="429"/>
      <c r="C29" s="429"/>
      <c r="D29" s="1044"/>
      <c r="E29" s="429"/>
      <c r="F29" s="429"/>
      <c r="I29" s="467"/>
    </row>
    <row r="30" spans="2:10">
      <c r="B30" s="114" t="s">
        <v>966</v>
      </c>
      <c r="C30" s="429"/>
      <c r="D30" s="1043" t="s">
        <v>1158</v>
      </c>
      <c r="E30" s="429"/>
      <c r="F30" s="429"/>
      <c r="I30" s="467"/>
    </row>
    <row r="31" spans="2:10">
      <c r="C31" s="429"/>
      <c r="D31" s="429"/>
      <c r="E31" s="429"/>
      <c r="F31" s="429"/>
      <c r="H31"/>
      <c r="I31" s="467"/>
    </row>
    <row r="32" spans="2:10">
      <c r="B32" s="429"/>
      <c r="F32" s="429"/>
      <c r="I32" s="467"/>
    </row>
    <row r="33" spans="2:9">
      <c r="B33" s="114" t="s">
        <v>1105</v>
      </c>
      <c r="C33" s="1045" t="str">
        <f>"£m "&amp;$D$30</f>
        <v>£m 21/22</v>
      </c>
      <c r="D33" s="1043">
        <v>238.39195799999999</v>
      </c>
      <c r="E33" s="429"/>
      <c r="F33" s="429"/>
      <c r="I33" s="467"/>
    </row>
    <row r="34" spans="2:9">
      <c r="B34" s="114" t="s">
        <v>1106</v>
      </c>
      <c r="C34" s="1045" t="str">
        <f>"£m "&amp;$D$30</f>
        <v>£m 21/22</v>
      </c>
      <c r="D34" s="1043">
        <v>6196.6080419999998</v>
      </c>
      <c r="E34" s="429"/>
      <c r="F34" s="429"/>
      <c r="I34" s="467"/>
    </row>
    <row r="35" spans="2:9">
      <c r="C35" s="1046"/>
      <c r="D35" s="858"/>
      <c r="E35" s="429"/>
      <c r="F35" s="429"/>
      <c r="I35" s="467"/>
    </row>
    <row r="36" spans="2:9">
      <c r="B36" s="114" t="s">
        <v>1107</v>
      </c>
      <c r="C36" s="1045" t="str">
        <f>"£m "&amp;$D$30</f>
        <v>£m 21/22</v>
      </c>
      <c r="D36" s="1043">
        <v>286.61980701200832</v>
      </c>
      <c r="I36" s="467"/>
    </row>
    <row r="37" spans="2:9">
      <c r="B37" s="114" t="s">
        <v>1108</v>
      </c>
      <c r="C37" s="1045" t="str">
        <f>"£m "&amp;$D$30</f>
        <v>£m 21/22</v>
      </c>
      <c r="D37" s="1043">
        <v>6249.6801929879921</v>
      </c>
      <c r="I37" s="467"/>
    </row>
    <row r="38" spans="2:9">
      <c r="C38" s="1046"/>
      <c r="D38" s="858"/>
      <c r="I38" s="467"/>
    </row>
    <row r="39" spans="2:9">
      <c r="B39" s="573" t="s">
        <v>1109</v>
      </c>
      <c r="C39" s="1045" t="str">
        <f>"£m "&amp;$D$30</f>
        <v>£m 21/22</v>
      </c>
      <c r="D39" s="240">
        <f>D33-D36</f>
        <v>-48.227849012008335</v>
      </c>
      <c r="I39" s="467"/>
    </row>
    <row r="40" spans="2:9">
      <c r="B40" s="573" t="s">
        <v>1110</v>
      </c>
      <c r="C40" s="1045" t="str">
        <f>"£m "&amp;$D$30</f>
        <v>£m 21/22</v>
      </c>
      <c r="D40" s="240">
        <f>D34-D37</f>
        <v>-53.072150987992245</v>
      </c>
      <c r="I40" s="467"/>
    </row>
    <row r="41" spans="2:9">
      <c r="C41" s="1046"/>
      <c r="D41" s="858"/>
      <c r="I41" s="467"/>
    </row>
    <row r="42" spans="2:9">
      <c r="B42" s="114" t="s">
        <v>1111</v>
      </c>
      <c r="C42" s="1045" t="str">
        <f>"£m "&amp;$D$30</f>
        <v>£m 21/22</v>
      </c>
      <c r="D42" s="1043">
        <v>13.161893445022077</v>
      </c>
      <c r="I42" s="467"/>
    </row>
    <row r="43" spans="2:9">
      <c r="B43" s="114" t="s">
        <v>1112</v>
      </c>
      <c r="C43" s="1045" t="str">
        <f>"£m "&amp;$D$30</f>
        <v>£m 21/22</v>
      </c>
      <c r="D43" s="1043">
        <v>11.328437362485142</v>
      </c>
      <c r="I43" s="467"/>
    </row>
    <row r="44" spans="2:9">
      <c r="I44" s="467"/>
    </row>
    <row r="45" spans="2:9">
      <c r="I45" s="467"/>
    </row>
    <row r="46" spans="2:9">
      <c r="I46" s="467"/>
    </row>
    <row r="47" spans="2:9">
      <c r="B47" s="1042" t="s">
        <v>1113</v>
      </c>
      <c r="C47" s="392"/>
      <c r="D47" s="393"/>
      <c r="E47" s="393"/>
      <c r="F47" s="393"/>
      <c r="G47" s="393"/>
      <c r="H47" s="393"/>
      <c r="I47" s="467"/>
    </row>
    <row r="48" spans="2:9">
      <c r="I48" s="467"/>
    </row>
    <row r="49" spans="1:9">
      <c r="I49" s="467"/>
    </row>
    <row r="50" spans="1:9">
      <c r="I50" s="467"/>
    </row>
    <row r="51" spans="1:9">
      <c r="A51" s="339"/>
      <c r="B51" s="480"/>
      <c r="C51" s="480"/>
      <c r="D51" s="1041" t="str">
        <f t="shared" ref="D51:H51" si="5">IF(D52&lt;=Reporting_Year,"Actuals","Forecast")</f>
        <v>Actuals</v>
      </c>
      <c r="E51" s="1041" t="str">
        <f t="shared" si="5"/>
        <v>Actuals</v>
      </c>
      <c r="F51" s="1041" t="str">
        <f t="shared" si="5"/>
        <v>Actuals</v>
      </c>
      <c r="G51" s="1041" t="str">
        <f t="shared" si="5"/>
        <v>Forecast</v>
      </c>
      <c r="H51" s="1041" t="str">
        <f t="shared" si="5"/>
        <v>Forecast</v>
      </c>
      <c r="I51" s="467"/>
    </row>
    <row r="52" spans="1:9">
      <c r="A52" s="339"/>
      <c r="B52" s="339"/>
      <c r="C52" s="429"/>
      <c r="D52" s="560">
        <f>'RFPR cover'!$C$6</f>
        <v>2022</v>
      </c>
      <c r="E52" s="560">
        <f t="shared" ref="E52:H52" si="6">D52+1</f>
        <v>2023</v>
      </c>
      <c r="F52" s="560">
        <f t="shared" si="6"/>
        <v>2024</v>
      </c>
      <c r="G52" s="560">
        <f t="shared" si="6"/>
        <v>2025</v>
      </c>
      <c r="H52" s="560">
        <f t="shared" si="6"/>
        <v>2026</v>
      </c>
      <c r="I52" s="467"/>
    </row>
    <row r="53" spans="1:9">
      <c r="D53" s="1047"/>
      <c r="E53" s="1047"/>
      <c r="F53" s="1047"/>
      <c r="G53" s="1047"/>
      <c r="H53" s="1047"/>
      <c r="I53" s="467"/>
    </row>
    <row r="54" spans="1:9">
      <c r="B54" s="482" t="s">
        <v>1114</v>
      </c>
      <c r="C54" s="839" t="str">
        <f>Data!$C$9</f>
        <v>£m 18/19</v>
      </c>
      <c r="D54" s="242">
        <f>(D$62+D$67)/INDEX(real_to_nominal_CF,MATCH('R10 - Pensions &amp; Oth Activities'!D52,calendar_year,0))</f>
        <v>0.860900708183998</v>
      </c>
      <c r="E54" s="242">
        <f>(E$62+E$67)/INDEX(real_to_nominal_CF,MATCH('R10 - Pensions &amp; Oth Activities'!E52,calendar_year,0))</f>
        <v>0.86784356608690583</v>
      </c>
      <c r="F54" s="242">
        <f>(F$62+F$67)/INDEX(real_to_nominal_CF,MATCH('R10 - Pensions &amp; Oth Activities'!F52,calendar_year,0))</f>
        <v>0.57298104418435714</v>
      </c>
      <c r="G54" s="242">
        <f>(G$62+G$67)/INDEX(real_to_nominal_CF,MATCH('R10 - Pensions &amp; Oth Activities'!G52,calendar_year,0))</f>
        <v>0.30645762349286637</v>
      </c>
      <c r="H54" s="242">
        <f>(H$62+H$67)/INDEX(real_to_nominal_CF,MATCH('R10 - Pensions &amp; Oth Activities'!H52,calendar_year,0))</f>
        <v>0.30181702694136686</v>
      </c>
      <c r="I54" s="467"/>
    </row>
    <row r="55" spans="1:9">
      <c r="D55" s="1047"/>
      <c r="E55" s="1047"/>
      <c r="F55" s="1047"/>
      <c r="G55" s="1047"/>
      <c r="H55" s="1047"/>
    </row>
    <row r="56" spans="1:9">
      <c r="B56" s="429" t="s">
        <v>1115</v>
      </c>
      <c r="D56" s="1047"/>
      <c r="E56" s="1047"/>
      <c r="F56" s="1047"/>
      <c r="G56" s="1047"/>
      <c r="H56" s="1047"/>
    </row>
    <row r="57" spans="1:9">
      <c r="B57" s="1048" t="s">
        <v>1116</v>
      </c>
      <c r="C57" s="29" t="s">
        <v>522</v>
      </c>
      <c r="D57" s="1043">
        <v>0</v>
      </c>
      <c r="E57" s="1043">
        <v>0</v>
      </c>
      <c r="F57" s="494">
        <v>0</v>
      </c>
      <c r="G57" s="494">
        <v>0</v>
      </c>
      <c r="H57" s="494">
        <v>0</v>
      </c>
    </row>
    <row r="58" spans="1:9">
      <c r="B58" s="1048" t="s">
        <v>1116</v>
      </c>
      <c r="C58" s="29" t="s">
        <v>522</v>
      </c>
      <c r="D58" s="1043">
        <v>0</v>
      </c>
      <c r="E58" s="1043">
        <v>0</v>
      </c>
      <c r="F58" s="494">
        <v>0</v>
      </c>
      <c r="G58" s="494">
        <v>0</v>
      </c>
      <c r="H58" s="494">
        <v>0</v>
      </c>
    </row>
    <row r="59" spans="1:9">
      <c r="B59" s="1048" t="s">
        <v>945</v>
      </c>
      <c r="C59" s="29" t="s">
        <v>522</v>
      </c>
      <c r="D59" s="1043">
        <v>0</v>
      </c>
      <c r="E59" s="1043">
        <v>0</v>
      </c>
      <c r="F59" s="494">
        <v>0</v>
      </c>
      <c r="G59" s="494">
        <v>0</v>
      </c>
      <c r="H59" s="494">
        <v>0</v>
      </c>
    </row>
    <row r="60" spans="1:9">
      <c r="B60" s="429" t="s">
        <v>1117</v>
      </c>
      <c r="C60" s="29" t="s">
        <v>522</v>
      </c>
      <c r="D60" s="242">
        <f t="shared" ref="D60:H60" si="7">SUM(D57:D59)</f>
        <v>0</v>
      </c>
      <c r="E60" s="242">
        <f t="shared" si="7"/>
        <v>0</v>
      </c>
      <c r="F60" s="242">
        <f t="shared" si="7"/>
        <v>0</v>
      </c>
      <c r="G60" s="242">
        <f t="shared" si="7"/>
        <v>0</v>
      </c>
      <c r="H60" s="242">
        <f t="shared" si="7"/>
        <v>0</v>
      </c>
    </row>
    <row r="61" spans="1:9">
      <c r="B61" s="339" t="s">
        <v>1118</v>
      </c>
      <c r="C61" s="29" t="s">
        <v>522</v>
      </c>
      <c r="D61" s="1043">
        <v>0</v>
      </c>
      <c r="E61" s="1043">
        <v>0</v>
      </c>
      <c r="F61" s="494">
        <v>0</v>
      </c>
      <c r="G61" s="494">
        <v>0</v>
      </c>
      <c r="H61" s="494">
        <v>0</v>
      </c>
    </row>
    <row r="62" spans="1:9">
      <c r="B62" s="482" t="s">
        <v>1119</v>
      </c>
      <c r="C62" s="29" t="s">
        <v>522</v>
      </c>
      <c r="D62" s="242">
        <f t="shared" ref="D62:H62" si="8">D60-D61</f>
        <v>0</v>
      </c>
      <c r="E62" s="242">
        <f t="shared" si="8"/>
        <v>0</v>
      </c>
      <c r="F62" s="242">
        <f t="shared" si="8"/>
        <v>0</v>
      </c>
      <c r="G62" s="242">
        <f t="shared" si="8"/>
        <v>0</v>
      </c>
      <c r="H62" s="242">
        <f t="shared" si="8"/>
        <v>0</v>
      </c>
    </row>
    <row r="64" spans="1:9">
      <c r="B64" s="429" t="s">
        <v>1120</v>
      </c>
      <c r="D64" s="1047"/>
      <c r="E64" s="1047"/>
      <c r="F64" s="1047"/>
      <c r="G64" s="1047"/>
      <c r="H64" s="1047"/>
    </row>
    <row r="65" spans="2:8">
      <c r="B65" s="1048" t="s">
        <v>1121</v>
      </c>
      <c r="C65" s="29" t="s">
        <v>522</v>
      </c>
      <c r="D65" s="1043">
        <v>1.15295174</v>
      </c>
      <c r="E65" s="1043">
        <v>1.3653653400000001</v>
      </c>
      <c r="F65" s="494">
        <v>0.95146576999999999</v>
      </c>
      <c r="G65" s="494">
        <v>0.52063080743698964</v>
      </c>
      <c r="H65" s="494">
        <v>0.52063080743698964</v>
      </c>
    </row>
    <row r="66" spans="2:8">
      <c r="B66" s="339" t="s">
        <v>1118</v>
      </c>
      <c r="C66" s="29" t="s">
        <v>522</v>
      </c>
      <c r="D66" s="1043">
        <v>0.21906083060000001</v>
      </c>
      <c r="E66" s="1043">
        <v>0.34134133500000002</v>
      </c>
      <c r="F66" s="494">
        <f t="shared" ref="F66:H66" si="9">F65*0.25</f>
        <v>0.2378664425</v>
      </c>
      <c r="G66" s="494">
        <f t="shared" si="9"/>
        <v>0.13015770185924741</v>
      </c>
      <c r="H66" s="494">
        <f t="shared" si="9"/>
        <v>0.13015770185924741</v>
      </c>
    </row>
    <row r="67" spans="2:8">
      <c r="B67" s="482" t="s">
        <v>1122</v>
      </c>
      <c r="C67" s="29" t="s">
        <v>522</v>
      </c>
      <c r="D67" s="242">
        <f t="shared" ref="D67:H67" si="10">D65-D66</f>
        <v>0.93389090939999997</v>
      </c>
      <c r="E67" s="242">
        <f t="shared" si="10"/>
        <v>1.024024005</v>
      </c>
      <c r="F67" s="242">
        <f t="shared" si="10"/>
        <v>0.71359932749999999</v>
      </c>
      <c r="G67" s="242">
        <f t="shared" si="10"/>
        <v>0.39047310557774223</v>
      </c>
      <c r="H67" s="242">
        <f t="shared" si="10"/>
        <v>0.39047310557774223</v>
      </c>
    </row>
  </sheetData>
  <sheetProtection insertRows="0" sort="0" autoFilter="0" pivotTables="0"/>
  <mergeCells count="1">
    <mergeCell ref="D25:D27"/>
  </mergeCells>
  <conditionalFormatting sqref="D25">
    <cfRule type="expression" dxfId="26" priority="38">
      <formula>AND(E$4="Actuals",F$4="Forecast")</formula>
    </cfRule>
  </conditionalFormatting>
  <conditionalFormatting sqref="D28">
    <cfRule type="expression" dxfId="25" priority="25">
      <formula>D$5="Forecast"</formula>
    </cfRule>
    <cfRule type="expression" dxfId="24" priority="26">
      <formula>D$5="Actuals"</formula>
    </cfRule>
  </conditionalFormatting>
  <conditionalFormatting sqref="D30">
    <cfRule type="expression" dxfId="23" priority="23">
      <formula>D$5="Forecast"</formula>
    </cfRule>
    <cfRule type="expression" dxfId="22" priority="24">
      <formula>D$5="Actuals"</formula>
    </cfRule>
  </conditionalFormatting>
  <conditionalFormatting sqref="D33:D34">
    <cfRule type="expression" dxfId="21" priority="19">
      <formula>D$5="Forecast"</formula>
    </cfRule>
    <cfRule type="expression" dxfId="20" priority="20">
      <formula>D$5="Actuals"</formula>
    </cfRule>
  </conditionalFormatting>
  <conditionalFormatting sqref="D36:D37">
    <cfRule type="expression" dxfId="19" priority="15">
      <formula>D$5="Forecast"</formula>
    </cfRule>
    <cfRule type="expression" dxfId="18" priority="16">
      <formula>D$5="Actuals"</formula>
    </cfRule>
  </conditionalFormatting>
  <conditionalFormatting sqref="D42:D43">
    <cfRule type="expression" dxfId="17" priority="11">
      <formula>D$5="Forecast"</formula>
    </cfRule>
    <cfRule type="expression" dxfId="16" priority="12">
      <formula>D$5="Actuals"</formula>
    </cfRule>
  </conditionalFormatting>
  <conditionalFormatting sqref="D22:E22">
    <cfRule type="expression" dxfId="15" priority="27">
      <formula>D$5="Forecast"</formula>
    </cfRule>
    <cfRule type="expression" dxfId="14" priority="28">
      <formula>D$5="Actuals"</formula>
    </cfRule>
  </conditionalFormatting>
  <conditionalFormatting sqref="D57:E59">
    <cfRule type="expression" dxfId="13" priority="9">
      <formula>D$5="Forecast"</formula>
    </cfRule>
    <cfRule type="expression" dxfId="12" priority="10">
      <formula>D$5="Actuals"</formula>
    </cfRule>
  </conditionalFormatting>
  <conditionalFormatting sqref="D61:E61">
    <cfRule type="expression" dxfId="11" priority="7">
      <formula>D$5="Forecast"</formula>
    </cfRule>
    <cfRule type="expression" dxfId="10" priority="8">
      <formula>D$5="Actuals"</formula>
    </cfRule>
  </conditionalFormatting>
  <conditionalFormatting sqref="D65:E66">
    <cfRule type="expression" dxfId="9" priority="1">
      <formula>D$5="Forecast"</formula>
    </cfRule>
    <cfRule type="expression" dxfId="8" priority="2">
      <formula>D$5="Actuals"</formula>
    </cfRule>
  </conditionalFormatting>
  <conditionalFormatting sqref="D5:G6 I5:I12 I14:I54 D51:G52">
    <cfRule type="expression" dxfId="7" priority="41">
      <formula>AND(D$5="Actuals",E$5="Forecast")</formula>
    </cfRule>
  </conditionalFormatting>
  <conditionalFormatting sqref="D6:G6 D52:G52">
    <cfRule type="expression" dxfId="6" priority="48">
      <formula>AND(D$4="Actuals",E$4="Forecast")</formula>
    </cfRule>
  </conditionalFormatting>
  <conditionalFormatting sqref="D7:H7">
    <cfRule type="expression" dxfId="5" priority="29">
      <formula>AND(D$5="Actuals",E$5="Forecast")</formula>
    </cfRule>
  </conditionalFormatting>
  <conditionalFormatting sqref="D12:H12 D14:H15">
    <cfRule type="expression" dxfId="4" priority="42">
      <formula>D$5="Forecast"</formula>
    </cfRule>
    <cfRule type="expression" dxfId="3" priority="43">
      <formula>D$5="Actuals"</formula>
    </cfRule>
  </conditionalFormatting>
  <conditionalFormatting sqref="H5:H6 H51:H52">
    <cfRule type="expression" dxfId="2" priority="302">
      <formula>AND(H$5="Actuals",#REF!="Forecast")</formula>
    </cfRule>
  </conditionalFormatting>
  <conditionalFormatting sqref="H6 H52">
    <cfRule type="expression" dxfId="1" priority="294">
      <formula>AND(H$4="Actuals",#REF!="Forecast")</formula>
    </cfRule>
  </conditionalFormatting>
  <conditionalFormatting sqref="J17:J22">
    <cfRule type="expression" dxfId="0" priority="314">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1123</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58"/>
      <c r="Y1" s="1058"/>
      <c r="Z1" s="1058"/>
      <c r="AA1" s="1058"/>
      <c r="AB1" s="1058"/>
    </row>
    <row r="2" spans="1:29" customFormat="1" ht="19.5">
      <c r="A2" s="272" t="str">
        <f>Licensee</f>
        <v>Cadent-WM</v>
      </c>
      <c r="B2" s="273"/>
      <c r="C2" s="273"/>
      <c r="D2" s="273"/>
      <c r="E2" s="273"/>
      <c r="F2" s="273"/>
      <c r="G2" s="273"/>
      <c r="H2" s="273"/>
      <c r="I2" s="273"/>
      <c r="J2" s="273"/>
      <c r="K2" s="273"/>
      <c r="L2" s="273"/>
      <c r="M2" s="273"/>
      <c r="N2" s="273"/>
      <c r="O2" s="273"/>
      <c r="P2" s="273"/>
      <c r="Q2" s="273"/>
      <c r="R2" s="273"/>
      <c r="S2" s="273"/>
      <c r="T2" s="273"/>
      <c r="U2" s="273"/>
      <c r="V2" s="273"/>
      <c r="W2" s="276"/>
      <c r="X2" s="1058"/>
      <c r="Y2" s="1058"/>
      <c r="Z2" s="1058"/>
      <c r="AA2" s="1058"/>
      <c r="AB2" s="1058"/>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58"/>
      <c r="Y3" s="1058"/>
      <c r="Z3" s="1058"/>
      <c r="AA3" s="1058"/>
      <c r="AB3" s="1058"/>
    </row>
    <row r="4" spans="1:29" ht="14.5">
      <c r="A4" s="1059"/>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1"/>
    </row>
    <row r="5" spans="1:29" ht="14.5">
      <c r="A5" s="1062" t="s">
        <v>1124</v>
      </c>
      <c r="B5" s="1063" t="s">
        <v>1125</v>
      </c>
      <c r="C5" s="1063" t="s">
        <v>1126</v>
      </c>
      <c r="D5" s="1064">
        <v>2015</v>
      </c>
      <c r="E5" s="1064">
        <v>2016</v>
      </c>
      <c r="F5" s="1064">
        <v>2017</v>
      </c>
      <c r="G5" s="1064">
        <v>2018</v>
      </c>
      <c r="H5" s="1064">
        <v>2019</v>
      </c>
      <c r="I5" s="1064">
        <v>2020</v>
      </c>
      <c r="J5" s="1064">
        <v>2021</v>
      </c>
      <c r="K5" s="1064">
        <v>2022</v>
      </c>
      <c r="L5" s="1064">
        <v>2023</v>
      </c>
      <c r="M5" s="1064">
        <f>L5+1</f>
        <v>2024</v>
      </c>
      <c r="N5" s="1064">
        <f>M5+1</f>
        <v>2025</v>
      </c>
      <c r="O5" s="1064">
        <f>N5+1</f>
        <v>2026</v>
      </c>
      <c r="P5" s="1064">
        <f>O5+1</f>
        <v>2027</v>
      </c>
      <c r="Q5" s="1064">
        <f>P5+1</f>
        <v>2028</v>
      </c>
      <c r="R5" s="1064">
        <f t="shared" ref="R5:V5" si="0">Q5+1</f>
        <v>2029</v>
      </c>
      <c r="S5" s="1064">
        <f t="shared" si="0"/>
        <v>2030</v>
      </c>
      <c r="T5" s="1064">
        <f t="shared" si="0"/>
        <v>2031</v>
      </c>
      <c r="U5" s="1064">
        <f t="shared" si="0"/>
        <v>2032</v>
      </c>
      <c r="V5" s="1064">
        <f t="shared" si="0"/>
        <v>2033</v>
      </c>
      <c r="W5" s="1061"/>
    </row>
    <row r="6" spans="1:29" ht="14.5">
      <c r="A6" s="1065"/>
      <c r="B6" s="1060"/>
      <c r="C6" s="1060"/>
      <c r="D6" s="1061"/>
      <c r="E6" s="1061"/>
      <c r="F6" s="1061"/>
      <c r="G6" s="1061"/>
      <c r="H6" s="1061"/>
      <c r="I6" s="1061"/>
      <c r="J6" s="1061"/>
      <c r="K6" s="1061"/>
      <c r="L6" s="1061"/>
      <c r="M6" s="1061"/>
      <c r="N6" s="1061"/>
      <c r="O6" s="1061"/>
      <c r="P6" s="1061"/>
      <c r="Q6" s="1061"/>
      <c r="R6" s="1061"/>
      <c r="S6" s="1061"/>
      <c r="T6" s="1061"/>
      <c r="U6" s="1061"/>
      <c r="V6" s="1061"/>
      <c r="W6" s="1061"/>
      <c r="X6" s="1061"/>
      <c r="Y6" s="1061"/>
    </row>
    <row r="7" spans="1:29" s="267" customFormat="1" ht="13.5">
      <c r="A7" s="87" t="s">
        <v>1127</v>
      </c>
      <c r="B7" s="87"/>
      <c r="C7" s="1066"/>
      <c r="D7" s="1067"/>
      <c r="E7" s="1067"/>
      <c r="F7" s="1067"/>
      <c r="G7" s="1067"/>
      <c r="H7" s="1067"/>
      <c r="I7" s="1068"/>
      <c r="J7" s="1068"/>
      <c r="K7" s="1068"/>
      <c r="L7" s="1068"/>
      <c r="M7" s="1068"/>
      <c r="N7" s="1068"/>
      <c r="O7" s="1068"/>
      <c r="P7" s="1068"/>
      <c r="Q7" s="1068"/>
      <c r="R7" s="1068"/>
      <c r="S7" s="1068"/>
      <c r="T7" s="1068"/>
      <c r="U7" s="1068"/>
      <c r="V7" s="1068"/>
    </row>
    <row r="8" spans="1:29" ht="14.5">
      <c r="E8" s="1069"/>
      <c r="F8" s="1069"/>
      <c r="G8" s="1069"/>
      <c r="H8" s="1069"/>
      <c r="I8" s="1069"/>
      <c r="J8" s="1069"/>
      <c r="K8" s="1069"/>
      <c r="L8" s="1069"/>
      <c r="M8" s="1069"/>
      <c r="N8" s="1069"/>
      <c r="O8" s="1069"/>
      <c r="P8" s="1070"/>
      <c r="Q8" s="1070"/>
      <c r="R8" s="1070"/>
      <c r="S8" s="1070"/>
      <c r="T8" s="1070"/>
      <c r="U8" s="1070"/>
      <c r="V8" s="1070"/>
    </row>
    <row r="9" spans="1:29" ht="14.5">
      <c r="A9" s="1071" t="s">
        <v>1128</v>
      </c>
      <c r="B9" s="267" t="s">
        <v>1129</v>
      </c>
      <c r="C9" s="1072">
        <f>IF(Price_basis = "£M 18/19", 2019, IF(Price_basis = "£M 20/21", 2021, "NA"))</f>
        <v>2019</v>
      </c>
      <c r="D9" s="266"/>
      <c r="E9" s="1069"/>
      <c r="F9" s="1069"/>
      <c r="G9" s="1069"/>
      <c r="H9" s="1069"/>
      <c r="I9" s="1069"/>
      <c r="J9" s="1069"/>
      <c r="K9" s="1069"/>
      <c r="L9" s="1069"/>
      <c r="M9" s="1069"/>
      <c r="N9" s="1069"/>
      <c r="O9" s="1069"/>
      <c r="P9" s="1070"/>
      <c r="Q9" s="1070"/>
      <c r="R9" s="1070"/>
      <c r="S9" s="1070"/>
      <c r="T9" s="1070"/>
      <c r="U9" s="1070"/>
      <c r="V9" s="1070"/>
    </row>
    <row r="10" spans="1:29" s="267" customFormat="1" ht="14.5">
      <c r="E10" s="1069"/>
      <c r="F10" s="1069"/>
      <c r="G10" s="1069"/>
      <c r="H10" s="1069"/>
      <c r="I10" s="1069"/>
      <c r="J10" s="1069"/>
      <c r="K10" s="1069"/>
      <c r="L10" s="1069"/>
      <c r="M10" s="1069"/>
      <c r="N10" s="1069"/>
      <c r="O10" s="1069"/>
      <c r="P10" s="1070"/>
      <c r="Q10" s="1069"/>
      <c r="R10" s="1069"/>
      <c r="S10" s="1069"/>
      <c r="T10" s="1069"/>
      <c r="U10" s="1069"/>
      <c r="V10" s="1069"/>
    </row>
    <row r="11" spans="1:29" s="267" customFormat="1" ht="14.5">
      <c r="A11" s="1073" t="s">
        <v>1130</v>
      </c>
      <c r="B11" s="1074"/>
      <c r="D11" s="1075"/>
      <c r="E11" s="1076"/>
      <c r="F11" s="1076"/>
      <c r="G11" s="1076"/>
      <c r="H11" s="1069"/>
      <c r="I11" s="1069"/>
      <c r="J11" s="1069"/>
      <c r="K11" s="1069"/>
      <c r="L11" s="1069"/>
      <c r="M11" s="1069"/>
      <c r="N11" s="1069"/>
      <c r="O11" s="1069"/>
      <c r="P11" s="1070"/>
      <c r="Q11" s="1076"/>
      <c r="R11" s="1076"/>
      <c r="S11" s="1076"/>
      <c r="T11" s="1076"/>
      <c r="U11" s="1076"/>
      <c r="V11" s="1076"/>
    </row>
    <row r="12" spans="1:29" s="267" customFormat="1" ht="13.5">
      <c r="A12" s="1273" t="s">
        <v>1131</v>
      </c>
      <c r="B12" s="1274"/>
      <c r="D12" s="1077"/>
      <c r="E12" s="1076"/>
      <c r="F12" s="1076"/>
      <c r="G12" s="1076"/>
      <c r="H12" s="1076"/>
      <c r="I12" s="1076"/>
      <c r="J12" s="1076"/>
      <c r="K12" s="1076"/>
      <c r="L12" s="1076"/>
      <c r="M12" s="1076"/>
      <c r="N12" s="1076"/>
      <c r="O12" s="1076"/>
      <c r="P12" s="1076"/>
      <c r="Q12" s="1076"/>
      <c r="R12" s="1076"/>
      <c r="S12" s="1076"/>
      <c r="T12" s="1076"/>
      <c r="U12" s="1076"/>
      <c r="V12" s="1076"/>
    </row>
    <row r="13" spans="1:29" s="267" customFormat="1" ht="14.5">
      <c r="E13" s="1076"/>
      <c r="F13" s="1076"/>
      <c r="G13" s="1076"/>
      <c r="H13" s="1076"/>
      <c r="I13" s="1076"/>
      <c r="J13" s="1076"/>
      <c r="K13" s="1076"/>
      <c r="L13" s="1076"/>
      <c r="M13" s="1076"/>
      <c r="N13" s="1076"/>
      <c r="O13" s="1076"/>
      <c r="P13" s="1076"/>
      <c r="Q13" s="1076"/>
      <c r="R13" s="1076"/>
      <c r="S13" s="1076"/>
      <c r="T13" s="1076"/>
      <c r="U13" s="1076"/>
      <c r="V13" s="1076"/>
      <c r="W13" s="266"/>
      <c r="X13" s="266"/>
      <c r="Y13" s="266"/>
      <c r="Z13" s="266"/>
      <c r="AA13" s="266"/>
      <c r="AB13" s="266"/>
      <c r="AC13" s="266"/>
    </row>
    <row r="14" spans="1:29" s="267" customFormat="1" ht="14.5">
      <c r="A14" s="1071" t="s">
        <v>1132</v>
      </c>
      <c r="B14" s="267" t="s">
        <v>1133</v>
      </c>
      <c r="D14" s="1078">
        <v>2015</v>
      </c>
      <c r="E14" s="1078">
        <v>2016</v>
      </c>
      <c r="F14" s="1078">
        <v>2017</v>
      </c>
      <c r="G14" s="1078">
        <v>2018</v>
      </c>
      <c r="H14" s="1078">
        <v>2019</v>
      </c>
      <c r="I14" s="1078">
        <v>2020</v>
      </c>
      <c r="J14" s="1078">
        <v>2021</v>
      </c>
      <c r="K14" s="1078">
        <v>2022</v>
      </c>
      <c r="L14" s="1078">
        <v>2023</v>
      </c>
      <c r="M14" s="1078">
        <v>2024</v>
      </c>
      <c r="N14" s="1078">
        <v>2025</v>
      </c>
      <c r="O14" s="1078">
        <v>2026</v>
      </c>
      <c r="P14" s="1078">
        <v>2027</v>
      </c>
      <c r="Q14" s="1078">
        <v>2028</v>
      </c>
      <c r="R14" s="1078">
        <v>2029</v>
      </c>
      <c r="S14" s="1078">
        <v>2030</v>
      </c>
      <c r="T14" s="1078">
        <v>2031</v>
      </c>
      <c r="U14" s="1078">
        <v>2032</v>
      </c>
      <c r="V14" s="1078">
        <v>2033</v>
      </c>
      <c r="W14" s="266"/>
      <c r="X14" s="266"/>
      <c r="Y14" s="266"/>
      <c r="Z14" s="266"/>
      <c r="AA14" s="266"/>
      <c r="AB14" s="266"/>
      <c r="AC14" s="266"/>
    </row>
    <row r="15" spans="1:29" s="267" customFormat="1" ht="14.5">
      <c r="A15" s="1071" t="s">
        <v>1134</v>
      </c>
      <c r="B15" s="267" t="s">
        <v>486</v>
      </c>
      <c r="D15" s="1079"/>
      <c r="E15" s="1080"/>
      <c r="F15" s="1080"/>
      <c r="G15" s="1081"/>
      <c r="H15" s="1277">
        <v>2.5628884588821732E-2</v>
      </c>
      <c r="I15" s="1277">
        <v>1.5033471260387898E-2</v>
      </c>
      <c r="J15" s="1277">
        <v>4.0452569031158125E-2</v>
      </c>
      <c r="K15" s="1277">
        <v>0.11584699426229506</v>
      </c>
      <c r="L15" s="1271">
        <v>9.6914789201007601E-2</v>
      </c>
      <c r="M15" s="1271">
        <v>3.1356893625321E-2</v>
      </c>
      <c r="N15" s="1271">
        <v>2.0457266265074402E-2</v>
      </c>
      <c r="O15" s="1271">
        <v>2.4969908330546801E-2</v>
      </c>
      <c r="P15" s="1272">
        <v>0.03</v>
      </c>
      <c r="Q15" s="1272">
        <v>0.03</v>
      </c>
      <c r="R15" s="1272">
        <v>0.03</v>
      </c>
      <c r="S15" s="1272">
        <v>0.03</v>
      </c>
      <c r="T15" s="1272">
        <v>0.03</v>
      </c>
      <c r="U15" s="1277">
        <v>0.03</v>
      </c>
      <c r="V15" s="1277">
        <v>0.03</v>
      </c>
      <c r="W15" s="266"/>
      <c r="X15" s="266"/>
      <c r="Y15" s="266"/>
      <c r="Z15" s="266"/>
      <c r="AA15" s="266"/>
      <c r="AB15" s="266"/>
      <c r="AC15" s="266"/>
    </row>
    <row r="16" spans="1:29" s="267" customFormat="1" ht="14.5">
      <c r="A16" s="1071" t="s">
        <v>1135</v>
      </c>
      <c r="B16" s="267" t="s">
        <v>486</v>
      </c>
      <c r="D16" s="1082"/>
      <c r="E16" s="1083"/>
      <c r="F16" s="1083"/>
      <c r="G16" s="1084"/>
      <c r="H16" s="1277">
        <v>1.7910205867057716E-2</v>
      </c>
      <c r="I16" s="1277">
        <v>8.5065402820156955E-3</v>
      </c>
      <c r="J16" s="1277">
        <v>2.5882219500718229E-2</v>
      </c>
      <c r="K16" s="1277">
        <v>9.0667455547039033E-2</v>
      </c>
      <c r="L16" s="1271">
        <v>7.3032807433557098E-2</v>
      </c>
      <c r="M16" s="1271">
        <v>2.1902133306788099E-2</v>
      </c>
      <c r="N16" s="1271">
        <v>1.47540195471507E-2</v>
      </c>
      <c r="O16" s="1271">
        <v>1.62662132526732E-2</v>
      </c>
      <c r="P16" s="1272">
        <v>0.02</v>
      </c>
      <c r="Q16" s="1272">
        <v>0.02</v>
      </c>
      <c r="R16" s="1272">
        <v>0.02</v>
      </c>
      <c r="S16" s="1272">
        <v>0.02</v>
      </c>
      <c r="T16" s="1272">
        <v>0.02</v>
      </c>
      <c r="U16" s="1277">
        <v>0.02</v>
      </c>
      <c r="V16" s="1277">
        <v>0.02</v>
      </c>
      <c r="W16" s="266"/>
      <c r="X16" s="266"/>
      <c r="Y16" s="266"/>
      <c r="Z16" s="266"/>
      <c r="AA16" s="266"/>
      <c r="AB16" s="266"/>
      <c r="AC16" s="266"/>
    </row>
    <row r="17" spans="1:29" s="267" customFormat="1" ht="14.5">
      <c r="H17" s="1248"/>
      <c r="I17" s="1257"/>
      <c r="J17" s="1257"/>
      <c r="K17" s="1257"/>
      <c r="L17" s="1257"/>
      <c r="M17" s="1257"/>
      <c r="N17" s="1257"/>
      <c r="O17" s="1257"/>
      <c r="P17" s="1248"/>
      <c r="Q17" s="1248"/>
      <c r="R17" s="1262"/>
      <c r="S17" s="1262"/>
      <c r="T17" s="1262"/>
      <c r="U17" s="1262"/>
      <c r="V17" s="1262"/>
      <c r="W17" s="266"/>
      <c r="X17" s="266"/>
      <c r="Y17" s="266"/>
      <c r="Z17" s="266"/>
      <c r="AA17" s="266"/>
      <c r="AB17" s="266"/>
      <c r="AC17" s="266"/>
    </row>
    <row r="18" spans="1:29" s="267" customFormat="1" ht="14.5">
      <c r="A18" s="1073" t="s">
        <v>1136</v>
      </c>
      <c r="E18" s="1085"/>
      <c r="F18" s="1086"/>
      <c r="G18" s="1086"/>
      <c r="H18" s="1086"/>
      <c r="I18" s="1086"/>
      <c r="J18" s="1086"/>
      <c r="K18" s="1086"/>
      <c r="L18" s="1086"/>
      <c r="M18" s="1086"/>
      <c r="N18" s="1086"/>
      <c r="O18" s="1086"/>
      <c r="P18" s="1086"/>
      <c r="Q18" s="1086"/>
      <c r="R18" s="1086"/>
      <c r="S18" s="1086"/>
      <c r="T18" s="1086"/>
      <c r="U18" s="1086"/>
      <c r="V18" s="1086"/>
      <c r="W18" s="266"/>
      <c r="X18" s="266"/>
      <c r="Y18" s="266"/>
      <c r="Z18" s="266"/>
      <c r="AA18" s="266"/>
      <c r="AB18" s="266"/>
      <c r="AC18" s="266"/>
    </row>
    <row r="19" spans="1:29" s="267" customFormat="1" ht="14.5">
      <c r="A19" s="1071" t="s">
        <v>1137</v>
      </c>
      <c r="B19" s="267" t="s">
        <v>1138</v>
      </c>
      <c r="D19" s="1087">
        <f ca="1">AVERAGEIFS('I2 - Monthly Inflation'!$H:$H,'I2 - Monthly Inflation'!$A:$A,"&gt;"&amp;DATE(D$14 - 1, 3, 31),'I2 - Monthly Inflation'!$A:$A,"&lt;"&amp;DATE(D$14, 4, 1))</f>
        <v>256.66666666666669</v>
      </c>
      <c r="E19" s="1087">
        <f ca="1">AVERAGEIFS('I2 - Monthly Inflation'!$H:$H,'I2 - Monthly Inflation'!$A:$A,"&gt;"&amp;DATE(E$14 - 1, 3, 31),'I2 - Monthly Inflation'!$A:$A,"&lt;"&amp;DATE(E$14, 4, 1))</f>
        <v>259.43333333333334</v>
      </c>
      <c r="F19" s="1087">
        <f ca="1">AVERAGEIFS('I2 - Monthly Inflation'!$H:$H,'I2 - Monthly Inflation'!$A:$A,"&gt;"&amp;DATE(F$14 - 1, 3, 31),'I2 - Monthly Inflation'!$A:$A,"&lt;"&amp;DATE(F$14, 4, 1))</f>
        <v>264.99166666666673</v>
      </c>
      <c r="G19" s="1087">
        <f ca="1">AVERAGEIFS('I2 - Monthly Inflation'!$H:$H,'I2 - Monthly Inflation'!$A:$A,"&gt;"&amp;DATE(G$14 - 1, 3, 31),'I2 - Monthly Inflation'!$A:$A,"&lt;"&amp;DATE(G$14, 4, 1))</f>
        <v>274.90833333333336</v>
      </c>
      <c r="H19" s="1087">
        <f ca="1">AVERAGEIFS('I2 - Monthly Inflation'!$H:$H,'I2 - Monthly Inflation'!$A:$A,"&gt;"&amp;DATE(H$14 - 1, 3, 31),'I2 - Monthly Inflation'!$A:$A,"&lt;"&amp;DATE(H$14, 4, 1))</f>
        <v>283.30833333333334</v>
      </c>
      <c r="I19" s="1087">
        <f ca="1">AVERAGEIFS('I2 - Monthly Inflation'!$H:$H,'I2 - Monthly Inflation'!$A:$A,"&gt;"&amp;DATE(I$14 - 1, 3, 31),'I2 - Monthly Inflation'!$A:$A,"&lt;"&amp;DATE(I$14, 4, 1))</f>
        <v>290.64166666666665</v>
      </c>
      <c r="J19" s="1087">
        <f ca="1">AVERAGEIFS('I2 - Monthly Inflation'!$H:$H,'I2 - Monthly Inflation'!$A:$A,"&gt;"&amp;DATE(J$14 - 1, 3, 31),'I2 - Monthly Inflation'!$A:$A,"&lt;"&amp;DATE(J$14, 4, 1))</f>
        <v>294.16666666666669</v>
      </c>
      <c r="K19" s="1087">
        <f ca="1">AVERAGEIFS('I2 - Monthly Inflation'!$H:$H,'I2 - Monthly Inflation'!$A:$A,"&gt;"&amp;DATE(K$14 - 1, 3, 31),'I2 - Monthly Inflation'!$A:$A,"&lt;"&amp;DATE(K$14, 4, 1))</f>
        <v>311.1583333333333</v>
      </c>
      <c r="L19" s="1087">
        <f ca="1">AVERAGEIFS('I2 - Monthly Inflation'!$H:$H,'I2 - Monthly Inflation'!$A:$A,"&gt;"&amp;DATE(L$14 - 1, 3, 31),'I2 - Monthly Inflation'!$A:$A,"&lt;"&amp;DATE(L$14, 4, 1))</f>
        <v>351.2166666666667</v>
      </c>
      <c r="M19" s="1087">
        <f ca="1">AVERAGEIFS('I2 - Monthly Inflation'!$H:$H,'I2 - Monthly Inflation'!$A:$A,"&gt;"&amp;DATE(M$14 - 1, 3, 31),'I2 - Monthly Inflation'!$A:$A,"&lt;"&amp;DATE(M$14, 4, 1))</f>
        <v>377.48333333333341</v>
      </c>
      <c r="N19" s="1087">
        <f ca="1">AVERAGEIFS('I2 - Monthly Inflation'!$H:$H,'I2 - Monthly Inflation'!$A:$A,"&gt;"&amp;DATE(N$14 - 1, 3, 31),'I2 - Monthly Inflation'!$A:$A,"&lt;"&amp;DATE(N$14, 4, 1))</f>
        <v>388.17567024472964</v>
      </c>
      <c r="O19" s="1087">
        <f ca="1">AVERAGEIFS('I2 - Monthly Inflation'!$H:$H,'I2 - Monthly Inflation'!$A:$A,"&gt;"&amp;DATE(O$14 - 1, 3, 31),'I2 - Monthly Inflation'!$A:$A,"&lt;"&amp;DATE(O$14, 4, 1))</f>
        <v>396.75312552378745</v>
      </c>
      <c r="P19" s="1087">
        <f ca="1">AVERAGEIFS('I2 - Monthly Inflation'!$H:$H,'I2 - Monthly Inflation'!$A:$A,"&gt;"&amp;DATE(P$14 - 1, 3, 31),'I2 - Monthly Inflation'!$A:$A,"&lt;"&amp;DATE(P$14, 4, 1))</f>
        <v>407.24952999494184</v>
      </c>
      <c r="Q19" s="1087">
        <f ca="1">AVERAGEIFS('I2 - Monthly Inflation'!$H:$H,'I2 - Monthly Inflation'!$A:$A,"&gt;"&amp;DATE(Q$14 - 1, 3, 31),'I2 - Monthly Inflation'!$A:$A,"&lt;"&amp;DATE(Q$14, 4, 1))</f>
        <v>419.42476662637688</v>
      </c>
      <c r="R19" s="1087">
        <f ca="1">AVERAGEIFS('I2 - Monthly Inflation'!$H:$H,'I2 - Monthly Inflation'!$A:$A,"&gt;"&amp;DATE(R$14 - 1, 3, 31),'I2 - Monthly Inflation'!$A:$A,"&lt;"&amp;DATE(R$14, 4, 1))</f>
        <v>432.00750962516872</v>
      </c>
      <c r="S19" s="1087">
        <f ca="1">AVERAGEIFS('I2 - Monthly Inflation'!$H:$H,'I2 - Monthly Inflation'!$A:$A,"&gt;"&amp;DATE(S$14 - 1, 3, 31),'I2 - Monthly Inflation'!$A:$A,"&lt;"&amp;DATE(S$14, 4, 1))</f>
        <v>444.96773491392423</v>
      </c>
      <c r="T19" s="1087">
        <f ca="1">AVERAGEIFS('I2 - Monthly Inflation'!$H:$H,'I2 - Monthly Inflation'!$A:$A,"&gt;"&amp;DATE(T$14 - 1, 3, 31),'I2 - Monthly Inflation'!$A:$A,"&lt;"&amp;DATE(T$14, 4, 1))</f>
        <v>458.31676696134241</v>
      </c>
      <c r="U19" s="1087">
        <f ca="1">AVERAGEIFS('I2 - Monthly Inflation'!$H:$H,'I2 - Monthly Inflation'!$A:$A,"&gt;"&amp;DATE(U$14 - 1, 3, 31),'I2 - Monthly Inflation'!$A:$A,"&lt;"&amp;DATE(U$14, 4, 1))</f>
        <v>472.06626997018316</v>
      </c>
      <c r="V19" s="1087">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88" t="s">
        <v>1139</v>
      </c>
      <c r="B20" s="267" t="s">
        <v>486</v>
      </c>
      <c r="D20" s="1082"/>
      <c r="E20" s="1089">
        <f t="shared" ref="E20:V20" ca="1" si="1">E19/D19-1</f>
        <v>1.0779220779220777E-2</v>
      </c>
      <c r="F20" s="1089">
        <f t="shared" ca="1" si="1"/>
        <v>2.1424900424001248E-2</v>
      </c>
      <c r="G20" s="1089">
        <f t="shared" ca="1" si="1"/>
        <v>3.7422560457875953E-2</v>
      </c>
      <c r="H20" s="1089">
        <f t="shared" ca="1" si="1"/>
        <v>3.0555639758707454E-2</v>
      </c>
      <c r="I20" s="1089">
        <f t="shared" ca="1" si="1"/>
        <v>2.5884636879724532E-2</v>
      </c>
      <c r="J20" s="1089">
        <f t="shared" ca="1" si="1"/>
        <v>1.2128336726209277E-2</v>
      </c>
      <c r="K20" s="1089">
        <f t="shared" ca="1" si="1"/>
        <v>5.7762039660056441E-2</v>
      </c>
      <c r="L20" s="1089">
        <f t="shared" ca="1" si="1"/>
        <v>0.12873938777149907</v>
      </c>
      <c r="M20" s="1089">
        <f t="shared" ca="1" si="1"/>
        <v>7.4787642955440825E-2</v>
      </c>
      <c r="N20" s="1089">
        <f t="shared" ca="1" si="1"/>
        <v>2.8325321854553165E-2</v>
      </c>
      <c r="O20" s="1089">
        <f t="shared" ca="1" si="1"/>
        <v>2.2096838974091426E-2</v>
      </c>
      <c r="P20" s="1089">
        <f t="shared" ca="1" si="1"/>
        <v>2.6455757487221288E-2</v>
      </c>
      <c r="Q20" s="1089">
        <f t="shared" ca="1" si="1"/>
        <v>2.9896257048071417E-2</v>
      </c>
      <c r="R20" s="1089">
        <f t="shared" ca="1" si="1"/>
        <v>3.0000000000001359E-2</v>
      </c>
      <c r="S20" s="1089">
        <f t="shared" ca="1" si="1"/>
        <v>3.0000000000001137E-2</v>
      </c>
      <c r="T20" s="1089">
        <f t="shared" ca="1" si="1"/>
        <v>3.0000000000000915E-2</v>
      </c>
      <c r="U20" s="1089">
        <f t="shared" ca="1" si="1"/>
        <v>3.0000000000001137E-2</v>
      </c>
      <c r="V20" s="1089">
        <f t="shared" ca="1" si="1"/>
        <v>3.0000000000001137E-2</v>
      </c>
      <c r="W20" s="266"/>
      <c r="X20" s="266"/>
      <c r="Y20" s="266"/>
      <c r="Z20" s="266"/>
      <c r="AA20" s="266"/>
      <c r="AB20" s="266"/>
      <c r="AC20" s="266"/>
    </row>
    <row r="21" spans="1:29" s="267" customFormat="1" ht="14.5">
      <c r="A21" s="1071"/>
      <c r="D21" s="1086"/>
      <c r="E21" s="1086"/>
      <c r="F21" s="1086"/>
      <c r="G21" s="1086"/>
      <c r="H21" s="1086"/>
      <c r="I21" s="1086"/>
      <c r="J21" s="1086"/>
      <c r="K21" s="1086"/>
      <c r="L21" s="1086"/>
      <c r="M21" s="1086"/>
      <c r="N21" s="1086"/>
      <c r="O21" s="1086"/>
      <c r="P21" s="1086"/>
      <c r="Q21" s="1086"/>
      <c r="R21" s="1086"/>
      <c r="S21" s="1086"/>
      <c r="T21" s="1086"/>
      <c r="U21" s="1086"/>
      <c r="V21" s="1086"/>
      <c r="W21" s="266"/>
      <c r="X21" s="266"/>
      <c r="Y21" s="266"/>
      <c r="Z21" s="266"/>
      <c r="AA21" s="266"/>
      <c r="AB21" s="266"/>
      <c r="AC21" s="266"/>
    </row>
    <row r="22" spans="1:29" s="267" customFormat="1" ht="14.5">
      <c r="A22" s="1071" t="s">
        <v>1140</v>
      </c>
      <c r="B22" s="267" t="s">
        <v>1138</v>
      </c>
      <c r="D22" s="1087">
        <f ca="1">AVERAGEIFS('I2 - Monthly Inflation'!$G:$G,'I2 - Monthly Inflation'!$A:$A,"&gt;"&amp;DATE(D$14 - 1, 3, 31),'I2 - Monthly Inflation'!$A:$A,"&lt;"&amp;DATE(D$14, 4, 1))</f>
        <v>99.72499999999998</v>
      </c>
      <c r="E22" s="1087">
        <f ca="1">AVERAGEIFS('I2 - Monthly Inflation'!$G:$G,'I2 - Monthly Inflation'!$A:$A,"&gt;"&amp;DATE(E$14 - 1, 3, 31),'I2 - Monthly Inflation'!$A:$A,"&lt;"&amp;DATE(E$14, 4, 1))</f>
        <v>100.16666666666667</v>
      </c>
      <c r="F22" s="1087">
        <f ca="1">AVERAGEIFS('I2 - Monthly Inflation'!$G:$G,'I2 - Monthly Inflation'!$A:$A,"&gt;"&amp;DATE(F$14 - 1, 3, 31),'I2 - Monthly Inflation'!$A:$A,"&lt;"&amp;DATE(F$14, 4, 1))</f>
        <v>101.54166666666667</v>
      </c>
      <c r="G22" s="1087">
        <f ca="1">AVERAGEIFS('I2 - Monthly Inflation'!$G:$G,'I2 - Monthly Inflation'!$A:$A,"&gt;"&amp;DATE(G$14 - 1, 3, 31),'I2 - Monthly Inflation'!$A:$A,"&lt;"&amp;DATE(G$14, 4, 1))</f>
        <v>104.21666666666665</v>
      </c>
      <c r="H22" s="1087">
        <f ca="1">AVERAGEIFS('I2 - Monthly Inflation'!$G:$G,'I2 - Monthly Inflation'!$A:$A,"&gt;"&amp;DATE(H$14 - 1, 3, 31),'I2 - Monthly Inflation'!$A:$A,"&lt;"&amp;DATE(H$14, 4, 1))</f>
        <v>106.43333333333334</v>
      </c>
      <c r="I22" s="1087">
        <f ca="1">AVERAGEIFS('I2 - Monthly Inflation'!$G:$G,'I2 - Monthly Inflation'!$A:$A,"&gt;"&amp;DATE(I$14 - 1, 3, 31),'I2 - Monthly Inflation'!$A:$A,"&lt;"&amp;DATE(I$14, 4, 1))</f>
        <v>108.24166666666663</v>
      </c>
      <c r="J22" s="1087">
        <f ca="1">AVERAGEIFS('I2 - Monthly Inflation'!$G:$G,'I2 - Monthly Inflation'!$A:$A,"&gt;"&amp;DATE(J$14 - 1, 3, 31),'I2 - Monthly Inflation'!$A:$A,"&lt;"&amp;DATE(J$14, 4, 1))</f>
        <v>109.10833333333335</v>
      </c>
      <c r="K22" s="1087">
        <f ca="1">AVERAGEIFS('I2 - Monthly Inflation'!$G:$G,'I2 - Monthly Inflation'!$A:$A,"&gt;"&amp;DATE(K$14 - 1, 3, 31),'I2 - Monthly Inflation'!$A:$A,"&lt;"&amp;DATE(K$14, 4, 1))</f>
        <v>113.11666666666667</v>
      </c>
      <c r="L22" s="1087">
        <f ca="1">AVERAGEIFS('I2 - Monthly Inflation'!$G:$G,'I2 - Monthly Inflation'!$A:$A,"&gt;"&amp;DATE(L$14 - 1, 3, 31),'I2 - Monthly Inflation'!$A:$A,"&lt;"&amp;DATE(L$14, 4, 1))</f>
        <v>123.04166666666664</v>
      </c>
      <c r="M22" s="1087">
        <f ca="1">AVERAGEIFS('I2 - Monthly Inflation'!$G:$G,'I2 - Monthly Inflation'!$A:$A,"&gt;"&amp;DATE(M$14 - 1, 3, 31),'I2 - Monthly Inflation'!$A:$A,"&lt;"&amp;DATE(M$14, 4, 1))</f>
        <v>129.86666666666665</v>
      </c>
      <c r="N22" s="1087">
        <f ca="1">AVERAGEIFS('I2 - Monthly Inflation'!$G:$G,'I2 - Monthly Inflation'!$A:$A,"&gt;"&amp;DATE(N$14 - 1, 3, 31),'I2 - Monthly Inflation'!$A:$A,"&lt;"&amp;DATE(N$14, 4, 1))</f>
        <v>132.86304853440734</v>
      </c>
      <c r="O22" s="1087">
        <f ca="1">AVERAGEIFS('I2 - Monthly Inflation'!$G:$G,'I2 - Monthly Inflation'!$A:$A,"&gt;"&amp;DATE(O$14 - 1, 3, 31),'I2 - Monthly Inflation'!$A:$A,"&lt;"&amp;DATE(O$14, 4, 1))</f>
        <v>134.90588823466803</v>
      </c>
      <c r="P22" s="1087">
        <f ca="1">AVERAGEIFS('I2 - Monthly Inflation'!$G:$G,'I2 - Monthly Inflation'!$A:$A,"&gt;"&amp;DATE(P$14 - 1, 3, 31),'I2 - Monthly Inflation'!$A:$A,"&lt;"&amp;DATE(P$14, 4, 1))</f>
        <v>137.25393974873671</v>
      </c>
      <c r="Q22" s="1087">
        <f ca="1">AVERAGEIFS('I2 - Monthly Inflation'!$G:$G,'I2 - Monthly Inflation'!$A:$A,"&gt;"&amp;DATE(Q$14 - 1, 3, 31),'I2 - Monthly Inflation'!$A:$A,"&lt;"&amp;DATE(Q$14, 4, 1))</f>
        <v>139.98841143297739</v>
      </c>
      <c r="R22" s="1087">
        <f ca="1">AVERAGEIFS('I2 - Monthly Inflation'!$G:$G,'I2 - Monthly Inflation'!$A:$A,"&gt;"&amp;DATE(R$14 - 1, 3, 31),'I2 - Monthly Inflation'!$A:$A,"&lt;"&amp;DATE(R$14, 4, 1))</f>
        <v>142.78817966163695</v>
      </c>
      <c r="S22" s="1087">
        <f ca="1">AVERAGEIFS('I2 - Monthly Inflation'!$G:$G,'I2 - Monthly Inflation'!$A:$A,"&gt;"&amp;DATE(S$14 - 1, 3, 31),'I2 - Monthly Inflation'!$A:$A,"&lt;"&amp;DATE(S$14, 4, 1))</f>
        <v>145.64394325486975</v>
      </c>
      <c r="T22" s="1087">
        <f ca="1">AVERAGEIFS('I2 - Monthly Inflation'!$G:$G,'I2 - Monthly Inflation'!$A:$A,"&gt;"&amp;DATE(T$14 - 1, 3, 31),'I2 - Monthly Inflation'!$A:$A,"&lt;"&amp;DATE(T$14, 4, 1))</f>
        <v>148.55682211996722</v>
      </c>
      <c r="U22" s="1087">
        <f ca="1">AVERAGEIFS('I2 - Monthly Inflation'!$G:$G,'I2 - Monthly Inflation'!$A:$A,"&gt;"&amp;DATE(U$14 - 1, 3, 31),'I2 - Monthly Inflation'!$A:$A,"&lt;"&amp;DATE(U$14, 4, 1))</f>
        <v>151.52795856236665</v>
      </c>
      <c r="V22" s="1087">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1" t="s">
        <v>1141</v>
      </c>
      <c r="B23" s="267" t="s">
        <v>486</v>
      </c>
      <c r="D23" s="1082"/>
      <c r="E23" s="1089">
        <f t="shared" ref="E23:V23" ca="1" si="2">E22/D22-1</f>
        <v>4.4288459931480784E-3</v>
      </c>
      <c r="F23" s="1089">
        <f t="shared" ca="1" si="2"/>
        <v>1.3727121464226277E-2</v>
      </c>
      <c r="G23" s="1089">
        <f t="shared" ca="1" si="2"/>
        <v>2.6343865408288814E-2</v>
      </c>
      <c r="H23" s="1089">
        <f t="shared" ca="1" si="2"/>
        <v>2.1269790500559882E-2</v>
      </c>
      <c r="I23" s="1089">
        <f t="shared" ca="1" si="2"/>
        <v>1.6990291262135582E-2</v>
      </c>
      <c r="J23" s="1089">
        <f t="shared" ca="1" si="2"/>
        <v>8.0067749634311625E-3</v>
      </c>
      <c r="K23" s="1089">
        <f t="shared" ca="1" si="2"/>
        <v>3.6737187810280236E-2</v>
      </c>
      <c r="L23" s="1089">
        <f t="shared" ca="1" si="2"/>
        <v>8.7741270075143429E-2</v>
      </c>
      <c r="M23" s="1089">
        <f t="shared" ca="1" si="2"/>
        <v>5.5469014561462915E-2</v>
      </c>
      <c r="N23" s="1089">
        <f t="shared" ca="1" si="2"/>
        <v>2.3072755655087596E-2</v>
      </c>
      <c r="O23" s="1089">
        <f t="shared" ca="1" si="2"/>
        <v>1.537552933486741E-2</v>
      </c>
      <c r="P23" s="1089">
        <f t="shared" ca="1" si="2"/>
        <v>1.7405107699852707E-2</v>
      </c>
      <c r="Q23" s="1089">
        <f t="shared" ca="1" si="2"/>
        <v>1.9922719080024409E-2</v>
      </c>
      <c r="R23" s="1089">
        <f t="shared" ca="1" si="2"/>
        <v>2.0000000000000018E-2</v>
      </c>
      <c r="S23" s="1089">
        <f t="shared" ca="1" si="2"/>
        <v>2.0000000000000462E-2</v>
      </c>
      <c r="T23" s="1089">
        <f t="shared" ca="1" si="2"/>
        <v>2.0000000000000462E-2</v>
      </c>
      <c r="U23" s="1089">
        <f t="shared" ca="1" si="2"/>
        <v>2.0000000000000462E-2</v>
      </c>
      <c r="V23" s="1089">
        <f t="shared" ca="1" si="2"/>
        <v>2.0000000000000906E-2</v>
      </c>
      <c r="W23" s="266"/>
      <c r="X23" s="266"/>
      <c r="Y23" s="266"/>
      <c r="Z23" s="266"/>
      <c r="AA23" s="266"/>
      <c r="AB23" s="266"/>
      <c r="AC23" s="266"/>
    </row>
    <row r="24" spans="1:29" s="267" customFormat="1" ht="14.5">
      <c r="A24" s="1071"/>
      <c r="D24" s="1086"/>
      <c r="E24" s="1086"/>
      <c r="F24" s="1086"/>
      <c r="G24" s="1086"/>
      <c r="H24" s="1086"/>
      <c r="I24" s="1086"/>
      <c r="J24" s="1086"/>
      <c r="K24" s="1086"/>
      <c r="L24" s="1086"/>
      <c r="M24" s="1086"/>
      <c r="N24" s="1086"/>
      <c r="O24" s="1086"/>
      <c r="P24" s="1086"/>
      <c r="Q24" s="1086"/>
      <c r="R24" s="1086"/>
      <c r="S24" s="1086"/>
      <c r="T24" s="1086"/>
      <c r="U24" s="1086"/>
      <c r="V24" s="1086"/>
      <c r="W24" s="266"/>
      <c r="X24" s="266"/>
      <c r="Y24" s="266"/>
      <c r="Z24" s="266"/>
      <c r="AA24" s="266"/>
      <c r="AB24" s="266"/>
      <c r="AC24" s="266"/>
    </row>
    <row r="25" spans="1:29" s="267" customFormat="1" ht="14.5">
      <c r="A25" s="1269" t="s">
        <v>1142</v>
      </c>
      <c r="B25" s="1270"/>
      <c r="C25" s="1270"/>
      <c r="D25" s="1270"/>
      <c r="E25" s="1270"/>
      <c r="F25" s="1270"/>
      <c r="G25" s="1270"/>
      <c r="W25" s="266"/>
      <c r="X25" s="266"/>
      <c r="Y25" s="266"/>
      <c r="Z25" s="266"/>
      <c r="AA25" s="266"/>
      <c r="AB25" s="266"/>
      <c r="AC25" s="266"/>
    </row>
    <row r="26" spans="1:29" ht="16">
      <c r="A26" s="1090" t="s">
        <v>182</v>
      </c>
      <c r="B26" s="267" t="s">
        <v>1143</v>
      </c>
      <c r="D26" s="1091"/>
      <c r="E26" s="1278">
        <v>5.0781749999999973E-3</v>
      </c>
      <c r="F26" s="1278">
        <v>3.4351165354330692E-3</v>
      </c>
      <c r="G26" s="1278">
        <v>3.5873463999999979E-3</v>
      </c>
      <c r="H26" s="1278">
        <v>6.6127083003952539E-3</v>
      </c>
      <c r="I26" s="1278">
        <v>6.803233464566928E-3</v>
      </c>
      <c r="J26" s="1278">
        <v>7.1293557312252984E-4</v>
      </c>
      <c r="K26" s="1278">
        <v>1.7992043478260867E-3</v>
      </c>
      <c r="L26" s="1278">
        <v>2.0980357784199554E-2</v>
      </c>
      <c r="M26" s="1278">
        <v>2.3740698686855872E-2</v>
      </c>
      <c r="N26" s="1278">
        <v>1.9477023536646317E-2</v>
      </c>
      <c r="O26" s="1278">
        <v>1.5611995450668598E-2</v>
      </c>
      <c r="P26" s="1278">
        <v>1.3742897566514626E-2</v>
      </c>
      <c r="Q26" s="1278">
        <v>1.3281905321116914E-2</v>
      </c>
      <c r="R26" s="1278">
        <v>1.3276122547146463E-2</v>
      </c>
      <c r="S26" s="1278">
        <v>1.3276122547146463E-2</v>
      </c>
      <c r="T26" s="1278">
        <v>1.3276122547146463E-2</v>
      </c>
      <c r="U26" s="1278">
        <v>1.3276122547146463E-2</v>
      </c>
      <c r="V26" s="1278">
        <v>1.3276122547146463E-2</v>
      </c>
    </row>
    <row r="27" spans="1:29" ht="16">
      <c r="A27" s="1090" t="s">
        <v>192</v>
      </c>
      <c r="B27" s="267" t="s">
        <v>1143</v>
      </c>
      <c r="D27" s="1092"/>
      <c r="E27" s="1278">
        <v>5.8068182539682493E-3</v>
      </c>
      <c r="F27" s="1278">
        <v>4.3909897637795289E-3</v>
      </c>
      <c r="G27" s="1278">
        <v>4.1095688000000029E-3</v>
      </c>
      <c r="H27" s="1278">
        <v>8.0087794466403156E-3</v>
      </c>
      <c r="I27" s="1278">
        <v>7.5744059055118133E-3</v>
      </c>
      <c r="J27" s="1278">
        <v>1.3609695652173918E-3</v>
      </c>
      <c r="K27" s="1278">
        <v>2.7350237154150194E-3</v>
      </c>
      <c r="L27" s="1278">
        <v>2.5740684477426647E-2</v>
      </c>
      <c r="M27" s="1278">
        <v>2.8715698686855855E-2</v>
      </c>
      <c r="N27" s="1278">
        <v>2.4452023536646307E-2</v>
      </c>
      <c r="O27" s="1278">
        <v>2.05869954506686E-2</v>
      </c>
      <c r="P27" s="1278">
        <v>1.8717897566514617E-2</v>
      </c>
      <c r="Q27" s="1278">
        <v>1.8256905321116835E-2</v>
      </c>
      <c r="R27" s="1278">
        <v>1.8251122547146371E-2</v>
      </c>
      <c r="S27" s="1278">
        <v>1.8251122547146368E-2</v>
      </c>
      <c r="T27" s="1278">
        <v>1.8251122547146368E-2</v>
      </c>
      <c r="U27" s="1278">
        <v>1.8251122547146371E-2</v>
      </c>
      <c r="V27" s="1278">
        <v>1.8251122547146365E-2</v>
      </c>
    </row>
    <row r="28" spans="1:29" ht="16">
      <c r="A28" s="1090" t="s">
        <v>201</v>
      </c>
      <c r="B28" s="267" t="s">
        <v>1143</v>
      </c>
      <c r="D28" s="1092"/>
      <c r="E28" s="1278">
        <v>7.3433785714285748E-3</v>
      </c>
      <c r="F28" s="1278">
        <v>5.8573948818897627E-3</v>
      </c>
      <c r="G28" s="1278">
        <v>5.2583907999999993E-3</v>
      </c>
      <c r="H28" s="1278">
        <v>9.1325312252964422E-3</v>
      </c>
      <c r="I28" s="1278">
        <v>8.2736870078740157E-3</v>
      </c>
      <c r="J28" s="1278">
        <v>1.9395011857707494E-3</v>
      </c>
      <c r="K28" s="1278">
        <v>4.3624873517786582E-3</v>
      </c>
      <c r="L28" s="1278">
        <v>3.2193353800135785E-2</v>
      </c>
      <c r="M28" s="1278">
        <v>3.5484698686855873E-2</v>
      </c>
      <c r="N28" s="1278">
        <v>3.1221023536646332E-2</v>
      </c>
      <c r="O28" s="1278">
        <v>2.7355995450668611E-2</v>
      </c>
      <c r="P28" s="1278">
        <v>2.5486897566514628E-2</v>
      </c>
      <c r="Q28" s="1278">
        <v>2.5025905321116808E-2</v>
      </c>
      <c r="R28" s="1278">
        <v>2.5020122547146306E-2</v>
      </c>
      <c r="S28" s="1278">
        <v>2.5020122547146306E-2</v>
      </c>
      <c r="T28" s="1278">
        <v>2.5020122547146306E-2</v>
      </c>
      <c r="U28" s="1278">
        <v>2.5020122547146306E-2</v>
      </c>
      <c r="V28" s="1278">
        <v>2.5020122547146306E-2</v>
      </c>
    </row>
    <row r="29" spans="1:29" ht="16">
      <c r="A29" s="1090" t="s">
        <v>209</v>
      </c>
      <c r="B29" s="267" t="s">
        <v>1143</v>
      </c>
      <c r="D29" s="1092"/>
      <c r="E29" s="1278">
        <v>1.0276014682539686E-2</v>
      </c>
      <c r="F29" s="1278">
        <v>8.2560413385826814E-3</v>
      </c>
      <c r="G29" s="1278">
        <v>7.3098552000000032E-3</v>
      </c>
      <c r="H29" s="1278">
        <v>1.0661026482213435E-2</v>
      </c>
      <c r="I29" s="1278">
        <v>9.1932188976377935E-3</v>
      </c>
      <c r="J29" s="1278">
        <v>2.9339932806324112E-3</v>
      </c>
      <c r="K29" s="1278">
        <v>6.4837596837944694E-3</v>
      </c>
      <c r="L29" s="1278">
        <v>3.5593353800135813E-2</v>
      </c>
      <c r="M29" s="1278">
        <v>3.8884698686855873E-2</v>
      </c>
      <c r="N29" s="1278">
        <v>3.4621023536646325E-2</v>
      </c>
      <c r="O29" s="1278">
        <v>3.0755995450668594E-2</v>
      </c>
      <c r="P29" s="1278">
        <v>2.8886897566514632E-2</v>
      </c>
      <c r="Q29" s="1278">
        <v>2.8425905321116832E-2</v>
      </c>
      <c r="R29" s="1278">
        <v>2.8420122547146334E-2</v>
      </c>
      <c r="S29" s="1278">
        <v>2.8420122547146334E-2</v>
      </c>
      <c r="T29" s="1278">
        <v>2.8420122547146334E-2</v>
      </c>
      <c r="U29" s="1278">
        <v>2.8420122547146334E-2</v>
      </c>
      <c r="V29" s="1278">
        <v>2.8420122547146334E-2</v>
      </c>
    </row>
    <row r="30" spans="1:29" ht="16">
      <c r="A30" s="1090" t="s">
        <v>214</v>
      </c>
      <c r="B30" s="267" t="s">
        <v>1143</v>
      </c>
      <c r="D30" s="1093"/>
      <c r="E30" s="1278">
        <v>4.6020119047619082E-3</v>
      </c>
      <c r="F30" s="1278">
        <v>2.971768627450981E-3</v>
      </c>
      <c r="G30" s="1278">
        <v>3.1490079681274906E-3</v>
      </c>
      <c r="H30" s="1278">
        <v>6.1974703557312284E-3</v>
      </c>
      <c r="I30" s="1278">
        <v>6.76011023622047E-3</v>
      </c>
      <c r="J30" s="1278">
        <v>5.5921739130434752E-4</v>
      </c>
      <c r="K30" s="1278">
        <v>1.4230988142292492E-3</v>
      </c>
      <c r="L30" s="1278">
        <v>2.2631043824701203E-2</v>
      </c>
      <c r="M30" s="1278">
        <v>4.9711560000000037E-2</v>
      </c>
      <c r="N30" s="1278">
        <v>4.9637201437048195E-2</v>
      </c>
      <c r="O30" s="1278">
        <v>4.5004104095878336E-2</v>
      </c>
      <c r="P30" s="1278">
        <v>4.0659022973774384E-2</v>
      </c>
      <c r="Q30" s="1278">
        <v>3.7787179498201061E-2</v>
      </c>
      <c r="R30" s="1278">
        <v>3.6732654717432131E-2</v>
      </c>
      <c r="S30" s="1278">
        <v>3.6621815274093257E-2</v>
      </c>
      <c r="T30" s="1278">
        <v>3.6622122547146405E-2</v>
      </c>
      <c r="U30" s="1278">
        <v>3.6622122547146405E-2</v>
      </c>
      <c r="V30" s="1278">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H19" sqref="H19"/>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Cadent-WM</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68"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4.8809909212980873</v>
      </c>
      <c r="H10" s="202" t="s">
        <v>29</v>
      </c>
      <c r="I10" s="203" t="s">
        <v>23</v>
      </c>
    </row>
    <row r="11" spans="1:14">
      <c r="B11" s="148" t="s">
        <v>30</v>
      </c>
      <c r="C11" s="302">
        <f>INDEX(Data!$M$350:$S$378,MATCH('RFPR cover'!$C$7,Data!$L$350:$L$378,0),MATCH('R8a - Tax Reconciliation'!$B$6,Data!$M$349:$S$349,0))</f>
        <v>1.1449237963538723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67"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07"/>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07"/>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07"/>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0"/>
      <c r="L23" s="1210"/>
      <c r="M23" s="1210"/>
      <c r="N23" s="1210"/>
      <c r="O23" s="135"/>
      <c r="U23" s="120"/>
      <c r="V23" s="120"/>
    </row>
    <row r="24" spans="1:22">
      <c r="A24" s="1211" t="s">
        <v>42</v>
      </c>
      <c r="B24" s="1267"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2">
        <v>2027</v>
      </c>
      <c r="L27" s="1243">
        <v>2028</v>
      </c>
      <c r="M27" s="1242">
        <v>2029</v>
      </c>
      <c r="N27" s="1243">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1">
        <v>391.33424803100451</v>
      </c>
      <c r="K28" s="1244">
        <v>398.0456355005802</v>
      </c>
      <c r="L28" s="1245">
        <v>405.76023501973924</v>
      </c>
      <c r="M28" s="1246">
        <f t="shared" ref="M28:M29" si="3">L28*(1+M$22)</f>
        <v>413.87543972013401</v>
      </c>
      <c r="N28" s="1246">
        <f t="shared" ref="N28:N29" si="4">M28*(1+N$22)</f>
        <v>422.15294851453672</v>
      </c>
      <c r="O28" s="1207"/>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1">
        <v>394.48785735339231</v>
      </c>
      <c r="K29" s="1244">
        <v>401.81615050280811</v>
      </c>
      <c r="L29" s="1245">
        <v>409.44663376493384</v>
      </c>
      <c r="M29" s="1246">
        <f t="shared" si="3"/>
        <v>417.63556644023254</v>
      </c>
      <c r="N29" s="1246">
        <f t="shared" si="4"/>
        <v>425.98827776903721</v>
      </c>
      <c r="O29" s="1207"/>
      <c r="U29" s="120"/>
      <c r="V29" s="120"/>
    </row>
    <row r="31" spans="1:22" ht="14.25" customHeight="1">
      <c r="B31" s="1267"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26">
        <f>IF(SectorCov="ED2",E28/INDEX($C$28:$N$28,MATCH($E$27,$C$27:$N$27,0)),E19/INDEX($C$19:$N$19,MATCH($C$18,$C$18:$N$18,0)))</f>
        <v>1.0383269111980469</v>
      </c>
      <c r="F34" s="1226">
        <f t="shared" ref="F34:L34" si="6">IF(SectorCov="ED2",F28/INDEX($C$28:$N$28,MATCH($E$27,$C$27:$N$27,0)),F19/INDEX($C$19:$N$19,MATCH($C$18,$C$18:$N$18,0)))</f>
        <v>1.0847835302284383</v>
      </c>
      <c r="G34" s="1226">
        <f t="shared" si="6"/>
        <v>1.1799638149272795</v>
      </c>
      <c r="H34" s="1226">
        <f t="shared" si="6"/>
        <v>1.2454152449594804</v>
      </c>
      <c r="I34" s="1226">
        <f t="shared" si="6"/>
        <v>1.2741504065955518</v>
      </c>
      <c r="J34" s="1226">
        <f t="shared" si="6"/>
        <v>1.2937411435491952</v>
      </c>
      <c r="K34" s="1226">
        <f t="shared" si="6"/>
        <v>1.319615966420179</v>
      </c>
      <c r="L34" s="1226">
        <f t="shared" si="6"/>
        <v>1.3460082857485827</v>
      </c>
      <c r="M34" s="1212"/>
    </row>
    <row r="35" spans="1:23" ht="40.5">
      <c r="A35" s="119"/>
      <c r="B35" s="119"/>
      <c r="C35" s="119"/>
      <c r="D35" s="137" t="s">
        <v>46</v>
      </c>
      <c r="E35" s="1226">
        <f>IF(Sector="ED2",INDEX(Data!$C$28:$N$28,MATCH(E$33,Data!$C$27:$N$27,0))/INDEX(Data!$C$28:$N$28,MATCH(E$33-1,Data!$C$27:$N$27,0)),INDEX(Data!$C$19:$N$19,MATCH(E$33,Data!$C$18:$N$18,0))/INDEX(Data!$C$19:$N$19,MATCH(E$33-1,Data!$C$18:$N$18,0)))</f>
        <v>1.0121283367262093</v>
      </c>
      <c r="F35" s="1226">
        <f>IF(Sector="ED2",INDEX(Data!$C$28:$N$28,MATCH(F$33,Data!$C$27:$N$27,0))/INDEX(Data!$C$28:$N$28,MATCH(F$33-1,Data!$C$27:$N$27,0)),INDEX(Data!$C$19:$N$19,MATCH(F$33,Data!$C$18:$N$18,0))/INDEX(Data!$C$19:$N$19,MATCH(F$33-1,Data!$C$18:$N$18,0)))</f>
        <v>1.0447418038860117</v>
      </c>
      <c r="G35" s="1226">
        <f>IF(Sector="ED2",INDEX(Data!$C$28:$N$28,MATCH(G$33,Data!$C$27:$N$27,0))/INDEX(Data!$C$28:$N$28,MATCH(G$33-1,Data!$C$27:$N$27,0)),INDEX(Data!$C$19:$N$19,MATCH(G$33,Data!$C$18:$N$18,0))/INDEX(Data!$C$19:$N$19,MATCH(G$33-1,Data!$C$18:$N$18,0)))</f>
        <v>1.0877412700751437</v>
      </c>
      <c r="H35" s="1226">
        <f>IF(Sector="ED2",INDEX(Data!$C$28:$N$28,MATCH(H$33,Data!$C$27:$N$27,0))/INDEX(Data!$C$28:$N$28,MATCH(H$33-1,Data!$C$27:$N$27,0)),INDEX(Data!$C$19:$N$19,MATCH(H$33,Data!$C$18:$N$18,0))/INDEX(Data!$C$19:$N$19,MATCH(H$33-1,Data!$C$18:$N$18,0)))</f>
        <v>1.0554690145614631</v>
      </c>
      <c r="I35" s="1226">
        <f>IF(Sector="ED2",INDEX(Data!$C$28:$N$28,MATCH(I$33,Data!$C$27:$N$27,0))/INDEX(Data!$C$28:$N$28,MATCH(I$33-1,Data!$C$27:$N$27,0)),INDEX(Data!$C$19:$N$19,MATCH(I$33,Data!$C$18:$N$18,0))/INDEX(Data!$C$19:$N$19,MATCH(I$33-1,Data!$C$18:$N$18,0)))</f>
        <v>1.0230727556550878</v>
      </c>
      <c r="J35" s="1226">
        <f>IF(Sector="ED2",INDEX(Data!$C$28:$N$28,MATCH(J$33,Data!$C$27:$N$27,0))/INDEX(Data!$C$28:$N$28,MATCH(J$33-1,Data!$C$27:$N$27,0)),INDEX(Data!$C$19:$N$19,MATCH(J$33,Data!$C$18:$N$18,0))/INDEX(Data!$C$19:$N$19,MATCH(J$33-1,Data!$C$18:$N$18,0)))</f>
        <v>1.0153755293348676</v>
      </c>
      <c r="K35" s="1226">
        <f>IF(Sector="ED2",INDEX(Data!$C$28:$N$28,MATCH(K$33,Data!$C$27:$N$27,0))/INDEX(Data!$C$28:$N$28,MATCH(K$33-1,Data!$C$27:$N$27,0)),INDEX(Data!$C$19:$N$19,MATCH(K$33,Data!$C$18:$N$18,0))/INDEX(Data!$C$19:$N$19,MATCH(K$33-1,Data!$C$18:$N$18,0)))</f>
        <v>1.02</v>
      </c>
      <c r="L35" s="1226">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26">
        <f>IF(SectorCov="ED2",INDEX(Data!$C$29:$N$29,MATCH(E$33,Data!$C$27:$N$27,0))/Data!$E$28,INDEX(Data!$C$20:$N$20,MATCH(E$33,Data!$C$18:$N$18,0))/Data!$C$19)</f>
        <v>1.0533528227824487</v>
      </c>
      <c r="F36" s="1226">
        <f>IF(SectorCov="ED2",INDEX(Data!$C$29:$N$29,MATCH(F$33,Data!$C$27:$N$27,0))/Data!$E$28,INDEX(Data!$C$20:$N$20,MATCH(F$33,Data!$C$18:$N$18,0))/Data!$C$19)</f>
        <v>1.1292169796764278</v>
      </c>
      <c r="G36" s="1226">
        <f>IF(SectorCov="ED2",INDEX(Data!$C$29:$N$29,MATCH(G$33,Data!$C$27:$N$27,0))/Data!$E$28,INDEX(Data!$C$20:$N$20,MATCH(G$33,Data!$C$18:$N$18,0))/Data!$C$19)</f>
        <v>1.2231985202354856</v>
      </c>
      <c r="H36" s="1226">
        <f>IF(SectorCov="ED2",INDEX(Data!$C$29:$N$29,MATCH(H$33,Data!$C$27:$N$27,0))/Data!$E$28,INDEX(Data!$C$20:$N$20,MATCH(H$33,Data!$C$18:$N$18,0))/Data!$C$19)</f>
        <v>1.2631781497724845</v>
      </c>
      <c r="I36" s="1226">
        <f>IF(SectorCov="ED2",INDEX(Data!$C$29:$N$29,MATCH(I$33,Data!$C$27:$N$27,0))/Data!$E$28,INDEX(Data!$C$20:$N$20,MATCH(I$33,Data!$C$18:$N$18,0))/Data!$C$19)</f>
        <v>1.2836907103971389</v>
      </c>
      <c r="J36" s="1226">
        <f>IF(SectorCov="ED2",INDEX(Data!$C$29:$N$29,MATCH(J$33,Data!$C$27:$N$27,0))/Data!$E$28,INDEX(Data!$C$20:$N$20,MATCH(J$33,Data!$C$18:$N$18,0))/Data!$C$19)</f>
        <v>1.3032900976972492</v>
      </c>
      <c r="K36" s="1226">
        <f>IF(SectorCov="ED2",INDEX(Data!$C$29:$N$29,MATCH(K$33,Data!$C$27:$N$27,0))/Data!$E$28,INDEX(Data!$C$20:$N$20,MATCH(K$33,Data!$C$18:$N$18,0))/Data!$C$19)</f>
        <v>1.3293558996511943</v>
      </c>
      <c r="L36" s="1226">
        <f>IF(SectorCov="ED2",INDEX(Data!$C$29:$N$29,MATCH(L$33,Data!$C$27:$N$27,0))/Data!$E$28,INDEX(Data!$C$20:$N$20,MATCH(L$33,Data!$C$18:$N$18,0))/Data!$C$19)</f>
        <v>1.355943017644218</v>
      </c>
      <c r="M36" s="129"/>
    </row>
    <row r="37" spans="1:23" ht="54" customHeight="1">
      <c r="A37" s="119"/>
      <c r="B37" s="1288" t="s">
        <v>48</v>
      </c>
      <c r="C37" s="1288"/>
      <c r="D37" s="1288"/>
      <c r="E37" s="1288"/>
      <c r="F37" s="1288"/>
      <c r="G37" s="1288"/>
      <c r="H37" s="1288"/>
      <c r="I37" s="1288"/>
      <c r="J37" s="1288"/>
      <c r="K37" s="1288"/>
      <c r="L37" s="1288"/>
      <c r="M37" s="1288"/>
      <c r="N37" s="1288"/>
      <c r="O37" s="1288"/>
      <c r="P37" s="1288"/>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07"/>
    </row>
    <row r="43" spans="1:23">
      <c r="B43" s="1193" t="s">
        <v>51</v>
      </c>
      <c r="C43" s="1194"/>
      <c r="D43" s="1195"/>
      <c r="E43" s="1196">
        <v>3.04E-2</v>
      </c>
      <c r="F43" s="1196">
        <v>3.1099999999999999E-2</v>
      </c>
      <c r="G43" s="1196">
        <v>3.1699999999999999E-2</v>
      </c>
      <c r="H43" s="1196">
        <v>3.1800000000000002E-2</v>
      </c>
      <c r="I43" s="1197">
        <v>3.2000000000000001E-2</v>
      </c>
      <c r="J43" s="1207"/>
    </row>
    <row r="44" spans="1:23">
      <c r="B44" s="1193" t="s">
        <v>52</v>
      </c>
      <c r="C44" s="1194"/>
      <c r="D44" s="1195"/>
      <c r="E44" s="1196">
        <v>3.04E-2</v>
      </c>
      <c r="F44" s="1196">
        <v>3.1099999999999999E-2</v>
      </c>
      <c r="G44" s="1196">
        <v>3.1699999999999999E-2</v>
      </c>
      <c r="H44" s="1196">
        <v>3.1800000000000002E-2</v>
      </c>
      <c r="I44" s="1197">
        <v>3.2000000000000001E-2</v>
      </c>
      <c r="J44" s="1207"/>
    </row>
    <row r="45" spans="1:23">
      <c r="A45" s="125"/>
      <c r="B45" s="141" t="s">
        <v>53</v>
      </c>
      <c r="C45" s="140"/>
      <c r="D45" s="81"/>
      <c r="E45" s="133">
        <v>3.1E-2</v>
      </c>
      <c r="F45" s="133">
        <v>3.1699999999999999E-2</v>
      </c>
      <c r="G45" s="133">
        <v>3.2300000000000002E-2</v>
      </c>
      <c r="H45" s="133">
        <v>3.2399999999999998E-2</v>
      </c>
      <c r="I45" s="59">
        <v>3.2599999999999997E-2</v>
      </c>
      <c r="J45" s="1207"/>
    </row>
    <row r="46" spans="1:23">
      <c r="A46" s="125"/>
      <c r="B46" s="141" t="s">
        <v>54</v>
      </c>
      <c r="C46" s="141">
        <v>1.8184707641684131E-2</v>
      </c>
      <c r="D46" s="133">
        <v>1.5809503423148775E-2</v>
      </c>
      <c r="E46" s="133">
        <v>1.8000565597912722E-2</v>
      </c>
      <c r="F46" s="133">
        <v>2.3276186478151731E-2</v>
      </c>
      <c r="G46" s="133">
        <v>2.7418061040625063E-2</v>
      </c>
      <c r="H46" s="81"/>
      <c r="I46" s="142"/>
      <c r="J46" s="1207"/>
    </row>
    <row r="47" spans="1:23">
      <c r="A47" s="126"/>
      <c r="B47" s="141" t="s">
        <v>55</v>
      </c>
      <c r="C47" s="141">
        <v>2.0500000000000001E-2</v>
      </c>
      <c r="D47" s="133">
        <v>1.9E-2</v>
      </c>
      <c r="E47" s="133">
        <v>1.9199999999999998E-2</v>
      </c>
      <c r="F47" s="133">
        <v>2.1100000000000001E-2</v>
      </c>
      <c r="G47" s="133">
        <v>2.29E-2</v>
      </c>
      <c r="H47" s="81"/>
      <c r="I47" s="142"/>
      <c r="J47" s="1207"/>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07"/>
    </row>
    <row r="49" spans="1:23">
      <c r="A49" s="125"/>
      <c r="B49" s="141" t="s">
        <v>56</v>
      </c>
      <c r="C49" s="141">
        <v>2.1100000000000001E-2</v>
      </c>
      <c r="D49" s="133">
        <v>1.9599999999999999E-2</v>
      </c>
      <c r="E49" s="133">
        <v>1.9799999999999998E-2</v>
      </c>
      <c r="F49" s="133">
        <v>2.1700000000000001E-2</v>
      </c>
      <c r="G49" s="133">
        <v>2.35E-2</v>
      </c>
      <c r="H49" s="81"/>
      <c r="I49" s="142"/>
      <c r="J49" s="1207"/>
    </row>
    <row r="50" spans="1:23">
      <c r="A50" s="125"/>
      <c r="B50" s="141" t="s">
        <v>27</v>
      </c>
      <c r="C50" s="141">
        <v>2.0500000000000001E-2</v>
      </c>
      <c r="D50" s="133">
        <v>1.9E-2</v>
      </c>
      <c r="E50" s="133">
        <v>1.9199999999999998E-2</v>
      </c>
      <c r="F50" s="133">
        <v>2.1100000000000001E-2</v>
      </c>
      <c r="G50" s="133">
        <v>2.29E-2</v>
      </c>
      <c r="H50" s="81"/>
      <c r="I50" s="142"/>
      <c r="J50" s="1207"/>
    </row>
    <row r="51" spans="1:23">
      <c r="A51" s="125"/>
      <c r="B51" s="143" t="s">
        <v>29</v>
      </c>
      <c r="C51" s="143">
        <v>-5.9999999999999995E-4</v>
      </c>
      <c r="D51" s="144">
        <v>2.12E-2</v>
      </c>
      <c r="E51" s="144">
        <v>5.0099999999999999E-2</v>
      </c>
      <c r="F51" s="144">
        <v>4.7300000000000002E-2</v>
      </c>
      <c r="G51" s="144">
        <v>4.19E-2</v>
      </c>
      <c r="H51" s="145"/>
      <c r="I51" s="146"/>
      <c r="J51" s="1207"/>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22" t="s">
        <v>67</v>
      </c>
      <c r="I61" s="1323"/>
      <c r="J61" s="1323"/>
      <c r="K61" s="1323"/>
      <c r="L61" s="1323"/>
      <c r="M61" s="1323"/>
      <c r="N61" s="1323"/>
      <c r="O61" s="1319" t="s">
        <v>68</v>
      </c>
      <c r="P61" s="1320"/>
      <c r="Q61" s="1320"/>
      <c r="R61" s="1320"/>
      <c r="S61" s="1320"/>
      <c r="T61" s="1320"/>
      <c r="U61" s="1321"/>
      <c r="V61"/>
      <c r="W61"/>
    </row>
    <row r="62" spans="1:23" ht="14" thickBot="1">
      <c r="A62" s="48" t="s">
        <v>6</v>
      </c>
      <c r="B62" s="196" t="s">
        <v>69</v>
      </c>
      <c r="C62" s="197"/>
      <c r="D62" s="197"/>
      <c r="E62" s="198"/>
      <c r="F62" s="199"/>
      <c r="G62" s="1184"/>
      <c r="H62" s="1188">
        <v>2022</v>
      </c>
      <c r="I62" s="1189">
        <f t="shared" ref="I62:N62" si="14">H62+1</f>
        <v>2023</v>
      </c>
      <c r="J62" s="1189">
        <f t="shared" si="14"/>
        <v>2024</v>
      </c>
      <c r="K62" s="1190">
        <f t="shared" si="14"/>
        <v>2025</v>
      </c>
      <c r="L62" s="1190">
        <f t="shared" si="14"/>
        <v>2026</v>
      </c>
      <c r="M62" s="1190">
        <f t="shared" si="14"/>
        <v>2027</v>
      </c>
      <c r="N62" s="1191">
        <f t="shared" si="14"/>
        <v>2028</v>
      </c>
      <c r="O62" s="1173">
        <v>2022</v>
      </c>
      <c r="P62" s="187">
        <f t="shared" ref="P62:U62" si="15">O62+1</f>
        <v>2023</v>
      </c>
      <c r="Q62" s="187">
        <f t="shared" si="15"/>
        <v>2024</v>
      </c>
      <c r="R62" s="188">
        <f t="shared" si="15"/>
        <v>2025</v>
      </c>
      <c r="S62" s="188">
        <f t="shared" si="15"/>
        <v>2026</v>
      </c>
      <c r="T62" s="188">
        <f t="shared" si="15"/>
        <v>2027</v>
      </c>
      <c r="U62" s="1174">
        <f t="shared" si="15"/>
        <v>2028</v>
      </c>
    </row>
    <row r="63" spans="1:23">
      <c r="A63" s="12" t="s">
        <v>19</v>
      </c>
      <c r="B63" s="191" t="s">
        <v>70</v>
      </c>
      <c r="C63" s="190">
        <v>0.50600000000000001</v>
      </c>
      <c r="D63" s="133">
        <v>0.6</v>
      </c>
      <c r="E63" s="192">
        <v>2024</v>
      </c>
      <c r="F63" s="1167" t="str">
        <f t="shared" ref="F63:F91" si="16">VLOOKUP($A63,$H$6:$I$10,2,FALSE)</f>
        <v>£m 20/21</v>
      </c>
      <c r="G63" s="1185" t="s">
        <v>53</v>
      </c>
      <c r="H63" s="1192"/>
      <c r="I63" s="189"/>
      <c r="J63" s="1171">
        <f t="shared" ref="J63:N76" si="17">INDEX($C$42:$I$51,MATCH($G63,$B$42:$B$51,0),MATCH(J$62,$C$41:$I$41))</f>
        <v>3.1E-2</v>
      </c>
      <c r="K63" s="1171">
        <f t="shared" si="17"/>
        <v>3.1699999999999999E-2</v>
      </c>
      <c r="L63" s="1171">
        <f t="shared" si="17"/>
        <v>3.2300000000000002E-2</v>
      </c>
      <c r="M63" s="1170">
        <f t="shared" si="17"/>
        <v>3.2399999999999998E-2</v>
      </c>
      <c r="N63" s="1176">
        <f t="shared" si="17"/>
        <v>3.2599999999999997E-2</v>
      </c>
      <c r="O63" s="1175"/>
      <c r="P63" s="139"/>
      <c r="Q63" s="1172">
        <f t="shared" ref="Q63:U76" si="18">INDEX($C$55:$I$59,MATCH($A63,$B$55:$B$59,0),MATCH(Q$62,$C$54:$I$54))</f>
        <v>5.2833944000000001E-2</v>
      </c>
      <c r="R63" s="1172">
        <f t="shared" si="18"/>
        <v>5.5875458000000003E-2</v>
      </c>
      <c r="S63" s="1172">
        <f t="shared" si="18"/>
        <v>5.5175427000000006E-2</v>
      </c>
      <c r="T63" s="1170">
        <f t="shared" si="18"/>
        <v>5.5320261000000003E-2</v>
      </c>
      <c r="U63" s="1176">
        <f t="shared" si="18"/>
        <v>5.5489234000000012E-2</v>
      </c>
    </row>
    <row r="64" spans="1:23">
      <c r="A64" s="12" t="s">
        <v>19</v>
      </c>
      <c r="B64" s="193" t="s">
        <v>71</v>
      </c>
      <c r="C64" s="133">
        <v>0.501</v>
      </c>
      <c r="D64" s="133">
        <v>0.6</v>
      </c>
      <c r="E64" s="49">
        <v>2024</v>
      </c>
      <c r="F64" s="1168" t="str">
        <f t="shared" si="16"/>
        <v>£m 20/21</v>
      </c>
      <c r="G64" s="1186" t="s">
        <v>53</v>
      </c>
      <c r="H64" s="1177"/>
      <c r="I64" s="81"/>
      <c r="J64" s="1170">
        <f t="shared" si="17"/>
        <v>3.1E-2</v>
      </c>
      <c r="K64" s="1170">
        <f t="shared" si="17"/>
        <v>3.1699999999999999E-2</v>
      </c>
      <c r="L64" s="1170">
        <f t="shared" si="17"/>
        <v>3.2300000000000002E-2</v>
      </c>
      <c r="M64" s="1170">
        <f t="shared" si="17"/>
        <v>3.2399999999999998E-2</v>
      </c>
      <c r="N64" s="1176">
        <f t="shared" si="17"/>
        <v>3.2599999999999997E-2</v>
      </c>
      <c r="O64" s="1177"/>
      <c r="P64" s="81"/>
      <c r="Q64" s="1170">
        <f t="shared" si="18"/>
        <v>5.2833944000000001E-2</v>
      </c>
      <c r="R64" s="1170">
        <f t="shared" si="18"/>
        <v>5.5875458000000003E-2</v>
      </c>
      <c r="S64" s="1170">
        <f t="shared" si="18"/>
        <v>5.5175427000000006E-2</v>
      </c>
      <c r="T64" s="1170">
        <f t="shared" si="18"/>
        <v>5.5320261000000003E-2</v>
      </c>
      <c r="U64" s="1176">
        <f t="shared" si="18"/>
        <v>5.5489234000000012E-2</v>
      </c>
    </row>
    <row r="65" spans="1:21">
      <c r="A65" s="12" t="s">
        <v>19</v>
      </c>
      <c r="B65" s="193" t="s">
        <v>72</v>
      </c>
      <c r="C65" s="133">
        <v>0.501</v>
      </c>
      <c r="D65" s="133">
        <v>0.6</v>
      </c>
      <c r="E65" s="49">
        <v>2024</v>
      </c>
      <c r="F65" s="1168" t="str">
        <f t="shared" si="16"/>
        <v>£m 20/21</v>
      </c>
      <c r="G65" s="1186" t="s">
        <v>53</v>
      </c>
      <c r="H65" s="1177"/>
      <c r="I65" s="81"/>
      <c r="J65" s="1170">
        <f t="shared" si="17"/>
        <v>3.1E-2</v>
      </c>
      <c r="K65" s="1170">
        <f t="shared" si="17"/>
        <v>3.1699999999999999E-2</v>
      </c>
      <c r="L65" s="1170">
        <f t="shared" si="17"/>
        <v>3.2300000000000002E-2</v>
      </c>
      <c r="M65" s="1170">
        <f t="shared" si="17"/>
        <v>3.2399999999999998E-2</v>
      </c>
      <c r="N65" s="1176">
        <f t="shared" si="17"/>
        <v>3.2599999999999997E-2</v>
      </c>
      <c r="O65" s="1177"/>
      <c r="P65" s="81"/>
      <c r="Q65" s="1170">
        <f t="shared" si="18"/>
        <v>5.2833944000000001E-2</v>
      </c>
      <c r="R65" s="1170">
        <f t="shared" si="18"/>
        <v>5.5875458000000003E-2</v>
      </c>
      <c r="S65" s="1170">
        <f t="shared" si="18"/>
        <v>5.5175427000000006E-2</v>
      </c>
      <c r="T65" s="1170">
        <f t="shared" si="18"/>
        <v>5.5320261000000003E-2</v>
      </c>
      <c r="U65" s="1176">
        <f t="shared" si="18"/>
        <v>5.5489234000000012E-2</v>
      </c>
    </row>
    <row r="66" spans="1:21">
      <c r="A66" s="12" t="s">
        <v>19</v>
      </c>
      <c r="B66" s="193" t="s">
        <v>52</v>
      </c>
      <c r="C66" s="133">
        <v>0.5</v>
      </c>
      <c r="D66" s="133">
        <v>0.6</v>
      </c>
      <c r="E66" s="49">
        <v>2024</v>
      </c>
      <c r="F66" s="1168" t="str">
        <f t="shared" si="16"/>
        <v>£m 20/21</v>
      </c>
      <c r="G66" s="1186" t="s">
        <v>52</v>
      </c>
      <c r="H66" s="1177"/>
      <c r="I66" s="81"/>
      <c r="J66" s="1170">
        <f t="shared" si="17"/>
        <v>3.04E-2</v>
      </c>
      <c r="K66" s="1170">
        <f t="shared" si="17"/>
        <v>3.1099999999999999E-2</v>
      </c>
      <c r="L66" s="1170">
        <f t="shared" si="17"/>
        <v>3.1699999999999999E-2</v>
      </c>
      <c r="M66" s="1170">
        <f t="shared" si="17"/>
        <v>3.1800000000000002E-2</v>
      </c>
      <c r="N66" s="1176">
        <f t="shared" si="17"/>
        <v>3.2000000000000001E-2</v>
      </c>
      <c r="O66" s="1177"/>
      <c r="P66" s="81"/>
      <c r="Q66" s="1170">
        <f t="shared" si="18"/>
        <v>5.2833944000000001E-2</v>
      </c>
      <c r="R66" s="1170">
        <f t="shared" si="18"/>
        <v>5.5875458000000003E-2</v>
      </c>
      <c r="S66" s="1170">
        <f t="shared" si="18"/>
        <v>5.5175427000000006E-2</v>
      </c>
      <c r="T66" s="1170">
        <f t="shared" si="18"/>
        <v>5.5320261000000003E-2</v>
      </c>
      <c r="U66" s="1176">
        <f t="shared" si="18"/>
        <v>5.5489234000000012E-2</v>
      </c>
    </row>
    <row r="67" spans="1:21">
      <c r="A67" s="12" t="s">
        <v>19</v>
      </c>
      <c r="B67" s="193" t="s">
        <v>73</v>
      </c>
      <c r="C67" s="133">
        <v>0.5</v>
      </c>
      <c r="D67" s="133">
        <v>0.6</v>
      </c>
      <c r="E67" s="49">
        <v>2024</v>
      </c>
      <c r="F67" s="1168" t="str">
        <f t="shared" si="16"/>
        <v>£m 20/21</v>
      </c>
      <c r="G67" s="1186" t="s">
        <v>53</v>
      </c>
      <c r="H67" s="1177"/>
      <c r="I67" s="81"/>
      <c r="J67" s="1170">
        <f t="shared" si="17"/>
        <v>3.1E-2</v>
      </c>
      <c r="K67" s="1170">
        <f t="shared" si="17"/>
        <v>3.1699999999999999E-2</v>
      </c>
      <c r="L67" s="1170">
        <f t="shared" si="17"/>
        <v>3.2300000000000002E-2</v>
      </c>
      <c r="M67" s="1170">
        <f t="shared" si="17"/>
        <v>3.2399999999999998E-2</v>
      </c>
      <c r="N67" s="1176">
        <f t="shared" si="17"/>
        <v>3.2599999999999997E-2</v>
      </c>
      <c r="O67" s="1177"/>
      <c r="P67" s="81"/>
      <c r="Q67" s="1170">
        <f t="shared" si="18"/>
        <v>5.2833944000000001E-2</v>
      </c>
      <c r="R67" s="1170">
        <f t="shared" si="18"/>
        <v>5.5875458000000003E-2</v>
      </c>
      <c r="S67" s="1170">
        <f t="shared" si="18"/>
        <v>5.5175427000000006E-2</v>
      </c>
      <c r="T67" s="1170">
        <f t="shared" si="18"/>
        <v>5.5320261000000003E-2</v>
      </c>
      <c r="U67" s="1176">
        <f t="shared" si="18"/>
        <v>5.5489234000000012E-2</v>
      </c>
    </row>
    <row r="68" spans="1:21">
      <c r="A68" s="12" t="s">
        <v>19</v>
      </c>
      <c r="B68" s="193" t="s">
        <v>74</v>
      </c>
      <c r="C68" s="133">
        <v>0.5</v>
      </c>
      <c r="D68" s="133">
        <v>0.6</v>
      </c>
      <c r="E68" s="49">
        <v>2024</v>
      </c>
      <c r="F68" s="1168" t="str">
        <f t="shared" si="16"/>
        <v>£m 20/21</v>
      </c>
      <c r="G68" s="1186" t="s">
        <v>53</v>
      </c>
      <c r="H68" s="1177"/>
      <c r="I68" s="81"/>
      <c r="J68" s="1170">
        <f t="shared" si="17"/>
        <v>3.1E-2</v>
      </c>
      <c r="K68" s="1170">
        <f t="shared" si="17"/>
        <v>3.1699999999999999E-2</v>
      </c>
      <c r="L68" s="1170">
        <f t="shared" si="17"/>
        <v>3.2300000000000002E-2</v>
      </c>
      <c r="M68" s="1170">
        <f t="shared" si="17"/>
        <v>3.2399999999999998E-2</v>
      </c>
      <c r="N68" s="1176">
        <f t="shared" si="17"/>
        <v>3.2599999999999997E-2</v>
      </c>
      <c r="O68" s="1177"/>
      <c r="P68" s="81"/>
      <c r="Q68" s="1170">
        <f t="shared" si="18"/>
        <v>5.2833944000000001E-2</v>
      </c>
      <c r="R68" s="1170">
        <f t="shared" si="18"/>
        <v>5.5875458000000003E-2</v>
      </c>
      <c r="S68" s="1170">
        <f t="shared" si="18"/>
        <v>5.5175427000000006E-2</v>
      </c>
      <c r="T68" s="1170">
        <f t="shared" si="18"/>
        <v>5.5320261000000003E-2</v>
      </c>
      <c r="U68" s="1176">
        <f t="shared" si="18"/>
        <v>5.5489234000000012E-2</v>
      </c>
    </row>
    <row r="69" spans="1:21">
      <c r="A69" s="12" t="s">
        <v>19</v>
      </c>
      <c r="B69" s="193" t="s">
        <v>75</v>
      </c>
      <c r="C69" s="133">
        <v>0.5</v>
      </c>
      <c r="D69" s="133">
        <v>0.6</v>
      </c>
      <c r="E69" s="49">
        <v>2024</v>
      </c>
      <c r="F69" s="1168" t="str">
        <f t="shared" si="16"/>
        <v>£m 20/21</v>
      </c>
      <c r="G69" s="1186" t="s">
        <v>53</v>
      </c>
      <c r="H69" s="1177"/>
      <c r="I69" s="81"/>
      <c r="J69" s="1170">
        <f t="shared" si="17"/>
        <v>3.1E-2</v>
      </c>
      <c r="K69" s="1170">
        <f t="shared" si="17"/>
        <v>3.1699999999999999E-2</v>
      </c>
      <c r="L69" s="1170">
        <f t="shared" si="17"/>
        <v>3.2300000000000002E-2</v>
      </c>
      <c r="M69" s="1170">
        <f t="shared" si="17"/>
        <v>3.2399999999999998E-2</v>
      </c>
      <c r="N69" s="1176">
        <f t="shared" si="17"/>
        <v>3.2599999999999997E-2</v>
      </c>
      <c r="O69" s="1177"/>
      <c r="P69" s="81"/>
      <c r="Q69" s="1170">
        <f t="shared" si="18"/>
        <v>5.2833944000000001E-2</v>
      </c>
      <c r="R69" s="1170">
        <f t="shared" si="18"/>
        <v>5.5875458000000003E-2</v>
      </c>
      <c r="S69" s="1170">
        <f t="shared" si="18"/>
        <v>5.5175427000000006E-2</v>
      </c>
      <c r="T69" s="1170">
        <f t="shared" si="18"/>
        <v>5.5320261000000003E-2</v>
      </c>
      <c r="U69" s="1176">
        <f t="shared" si="18"/>
        <v>5.5489234000000012E-2</v>
      </c>
    </row>
    <row r="70" spans="1:21">
      <c r="A70" s="12" t="s">
        <v>19</v>
      </c>
      <c r="B70" s="193" t="s">
        <v>76</v>
      </c>
      <c r="C70" s="133">
        <v>0.5</v>
      </c>
      <c r="D70" s="133">
        <v>0.6</v>
      </c>
      <c r="E70" s="49">
        <v>2024</v>
      </c>
      <c r="F70" s="1168" t="str">
        <f t="shared" si="16"/>
        <v>£m 20/21</v>
      </c>
      <c r="G70" s="1186" t="s">
        <v>53</v>
      </c>
      <c r="H70" s="1177"/>
      <c r="I70" s="81"/>
      <c r="J70" s="1170">
        <f t="shared" si="17"/>
        <v>3.1E-2</v>
      </c>
      <c r="K70" s="1170">
        <f t="shared" si="17"/>
        <v>3.1699999999999999E-2</v>
      </c>
      <c r="L70" s="1170">
        <f t="shared" si="17"/>
        <v>3.2300000000000002E-2</v>
      </c>
      <c r="M70" s="1170">
        <f t="shared" si="17"/>
        <v>3.2399999999999998E-2</v>
      </c>
      <c r="N70" s="1176">
        <f t="shared" si="17"/>
        <v>3.2599999999999997E-2</v>
      </c>
      <c r="O70" s="1177"/>
      <c r="P70" s="81"/>
      <c r="Q70" s="1170">
        <f t="shared" si="18"/>
        <v>5.2833944000000001E-2</v>
      </c>
      <c r="R70" s="1170">
        <f t="shared" si="18"/>
        <v>5.5875458000000003E-2</v>
      </c>
      <c r="S70" s="1170">
        <f t="shared" si="18"/>
        <v>5.5175427000000006E-2</v>
      </c>
      <c r="T70" s="1170">
        <f t="shared" si="18"/>
        <v>5.5320261000000003E-2</v>
      </c>
      <c r="U70" s="1176">
        <f t="shared" si="18"/>
        <v>5.5489234000000012E-2</v>
      </c>
    </row>
    <row r="71" spans="1:21">
      <c r="A71" s="12" t="s">
        <v>19</v>
      </c>
      <c r="B71" s="193" t="s">
        <v>77</v>
      </c>
      <c r="C71" s="133">
        <v>0.50700000000000001</v>
      </c>
      <c r="D71" s="133">
        <v>0.6</v>
      </c>
      <c r="E71" s="49">
        <v>2024</v>
      </c>
      <c r="F71" s="1168" t="str">
        <f t="shared" si="16"/>
        <v>£m 20/21</v>
      </c>
      <c r="G71" s="1186" t="s">
        <v>53</v>
      </c>
      <c r="H71" s="1177"/>
      <c r="I71" s="81"/>
      <c r="J71" s="1170">
        <f t="shared" si="17"/>
        <v>3.1E-2</v>
      </c>
      <c r="K71" s="1170">
        <f t="shared" si="17"/>
        <v>3.1699999999999999E-2</v>
      </c>
      <c r="L71" s="1170">
        <f t="shared" si="17"/>
        <v>3.2300000000000002E-2</v>
      </c>
      <c r="M71" s="1170">
        <f t="shared" si="17"/>
        <v>3.2399999999999998E-2</v>
      </c>
      <c r="N71" s="1176">
        <f t="shared" si="17"/>
        <v>3.2599999999999997E-2</v>
      </c>
      <c r="O71" s="1177"/>
      <c r="P71" s="81"/>
      <c r="Q71" s="1170">
        <f t="shared" si="18"/>
        <v>5.2833944000000001E-2</v>
      </c>
      <c r="R71" s="1170">
        <f t="shared" si="18"/>
        <v>5.5875458000000003E-2</v>
      </c>
      <c r="S71" s="1170">
        <f t="shared" si="18"/>
        <v>5.5175427000000006E-2</v>
      </c>
      <c r="T71" s="1170">
        <f t="shared" si="18"/>
        <v>5.5320261000000003E-2</v>
      </c>
      <c r="U71" s="1176">
        <f t="shared" si="18"/>
        <v>5.5489234000000012E-2</v>
      </c>
    </row>
    <row r="72" spans="1:21">
      <c r="A72" s="12" t="s">
        <v>19</v>
      </c>
      <c r="B72" s="193" t="s">
        <v>50</v>
      </c>
      <c r="C72" s="133">
        <v>0.50700000000000001</v>
      </c>
      <c r="D72" s="133">
        <v>0.6</v>
      </c>
      <c r="E72" s="49">
        <v>2024</v>
      </c>
      <c r="F72" s="1168" t="str">
        <f t="shared" si="16"/>
        <v>£m 20/21</v>
      </c>
      <c r="G72" s="1186" t="s">
        <v>50</v>
      </c>
      <c r="H72" s="1177"/>
      <c r="I72" s="81"/>
      <c r="J72" s="1170">
        <f t="shared" si="17"/>
        <v>3.04E-2</v>
      </c>
      <c r="K72" s="1170">
        <f t="shared" si="17"/>
        <v>3.1099999999999999E-2</v>
      </c>
      <c r="L72" s="1170">
        <f t="shared" si="17"/>
        <v>3.1699999999999999E-2</v>
      </c>
      <c r="M72" s="1170">
        <f t="shared" si="17"/>
        <v>3.1800000000000002E-2</v>
      </c>
      <c r="N72" s="1176">
        <f t="shared" si="17"/>
        <v>3.2000000000000001E-2</v>
      </c>
      <c r="O72" s="1177"/>
      <c r="P72" s="81"/>
      <c r="Q72" s="1170">
        <f t="shared" si="18"/>
        <v>5.2833944000000001E-2</v>
      </c>
      <c r="R72" s="1170">
        <f t="shared" si="18"/>
        <v>5.5875458000000003E-2</v>
      </c>
      <c r="S72" s="1170">
        <f t="shared" si="18"/>
        <v>5.5175427000000006E-2</v>
      </c>
      <c r="T72" s="1170">
        <f t="shared" si="18"/>
        <v>5.5320261000000003E-2</v>
      </c>
      <c r="U72" s="1176">
        <f t="shared" si="18"/>
        <v>5.5489234000000012E-2</v>
      </c>
    </row>
    <row r="73" spans="1:21">
      <c r="A73" s="12" t="s">
        <v>19</v>
      </c>
      <c r="B73" s="193" t="s">
        <v>51</v>
      </c>
      <c r="C73" s="133">
        <v>0.5</v>
      </c>
      <c r="D73" s="133">
        <v>0.6</v>
      </c>
      <c r="E73" s="49">
        <v>2024</v>
      </c>
      <c r="F73" s="1168" t="str">
        <f t="shared" si="16"/>
        <v>£m 20/21</v>
      </c>
      <c r="G73" s="1186" t="s">
        <v>51</v>
      </c>
      <c r="H73" s="1177"/>
      <c r="I73" s="81"/>
      <c r="J73" s="1170">
        <f t="shared" si="17"/>
        <v>3.04E-2</v>
      </c>
      <c r="K73" s="1170">
        <f t="shared" si="17"/>
        <v>3.1099999999999999E-2</v>
      </c>
      <c r="L73" s="1170">
        <f t="shared" si="17"/>
        <v>3.1699999999999999E-2</v>
      </c>
      <c r="M73" s="1170">
        <f t="shared" si="17"/>
        <v>3.1800000000000002E-2</v>
      </c>
      <c r="N73" s="1176">
        <f t="shared" si="17"/>
        <v>3.2000000000000001E-2</v>
      </c>
      <c r="O73" s="1177"/>
      <c r="P73" s="81"/>
      <c r="Q73" s="1170">
        <f t="shared" si="18"/>
        <v>5.2833944000000001E-2</v>
      </c>
      <c r="R73" s="1170">
        <f t="shared" si="18"/>
        <v>5.5875458000000003E-2</v>
      </c>
      <c r="S73" s="1170">
        <f t="shared" si="18"/>
        <v>5.5175427000000006E-2</v>
      </c>
      <c r="T73" s="1170">
        <f t="shared" si="18"/>
        <v>5.5320261000000003E-2</v>
      </c>
      <c r="U73" s="1176">
        <f t="shared" si="18"/>
        <v>5.5489234000000012E-2</v>
      </c>
    </row>
    <row r="74" spans="1:21">
      <c r="A74" s="12" t="s">
        <v>19</v>
      </c>
      <c r="B74" s="193" t="s">
        <v>78</v>
      </c>
      <c r="C74" s="133">
        <v>0.5</v>
      </c>
      <c r="D74" s="133">
        <v>0.6</v>
      </c>
      <c r="E74" s="49">
        <v>2024</v>
      </c>
      <c r="F74" s="1168" t="str">
        <f t="shared" si="16"/>
        <v>£m 20/21</v>
      </c>
      <c r="G74" s="1186" t="s">
        <v>53</v>
      </c>
      <c r="H74" s="1177"/>
      <c r="I74" s="81"/>
      <c r="J74" s="1170">
        <f t="shared" si="17"/>
        <v>3.1E-2</v>
      </c>
      <c r="K74" s="1170">
        <f t="shared" si="17"/>
        <v>3.1699999999999999E-2</v>
      </c>
      <c r="L74" s="1170">
        <f t="shared" si="17"/>
        <v>3.2300000000000002E-2</v>
      </c>
      <c r="M74" s="1170">
        <f t="shared" si="17"/>
        <v>3.2399999999999998E-2</v>
      </c>
      <c r="N74" s="1176">
        <f t="shared" si="17"/>
        <v>3.2599999999999997E-2</v>
      </c>
      <c r="O74" s="1177"/>
      <c r="P74" s="81"/>
      <c r="Q74" s="1170">
        <f t="shared" si="18"/>
        <v>5.2833944000000001E-2</v>
      </c>
      <c r="R74" s="1170">
        <f t="shared" si="18"/>
        <v>5.5875458000000003E-2</v>
      </c>
      <c r="S74" s="1170">
        <f t="shared" si="18"/>
        <v>5.5175427000000006E-2</v>
      </c>
      <c r="T74" s="1170">
        <f t="shared" si="18"/>
        <v>5.5320261000000003E-2</v>
      </c>
      <c r="U74" s="1176">
        <f t="shared" si="18"/>
        <v>5.5489234000000012E-2</v>
      </c>
    </row>
    <row r="75" spans="1:21">
      <c r="A75" s="12" t="s">
        <v>19</v>
      </c>
      <c r="B75" s="193" t="s">
        <v>79</v>
      </c>
      <c r="C75" s="133">
        <v>0.5</v>
      </c>
      <c r="D75" s="133">
        <v>0.6</v>
      </c>
      <c r="E75" s="49">
        <v>2024</v>
      </c>
      <c r="F75" s="1168" t="str">
        <f t="shared" si="16"/>
        <v>£m 20/21</v>
      </c>
      <c r="G75" s="1186" t="s">
        <v>53</v>
      </c>
      <c r="H75" s="1177"/>
      <c r="I75" s="81"/>
      <c r="J75" s="1170">
        <f t="shared" si="17"/>
        <v>3.1E-2</v>
      </c>
      <c r="K75" s="1170">
        <f t="shared" si="17"/>
        <v>3.1699999999999999E-2</v>
      </c>
      <c r="L75" s="1170">
        <f t="shared" si="17"/>
        <v>3.2300000000000002E-2</v>
      </c>
      <c r="M75" s="1170">
        <f t="shared" si="17"/>
        <v>3.2399999999999998E-2</v>
      </c>
      <c r="N75" s="1176">
        <f t="shared" si="17"/>
        <v>3.2599999999999997E-2</v>
      </c>
      <c r="O75" s="1177"/>
      <c r="P75" s="81"/>
      <c r="Q75" s="1170">
        <f t="shared" si="18"/>
        <v>5.2833944000000001E-2</v>
      </c>
      <c r="R75" s="1170">
        <f t="shared" si="18"/>
        <v>5.5875458000000003E-2</v>
      </c>
      <c r="S75" s="1170">
        <f t="shared" si="18"/>
        <v>5.5175427000000006E-2</v>
      </c>
      <c r="T75" s="1170">
        <f t="shared" si="18"/>
        <v>5.5320261000000003E-2</v>
      </c>
      <c r="U75" s="1176">
        <f t="shared" si="18"/>
        <v>5.5489234000000012E-2</v>
      </c>
    </row>
    <row r="76" spans="1:21">
      <c r="A76" s="12" t="s">
        <v>19</v>
      </c>
      <c r="B76" s="193" t="s">
        <v>80</v>
      </c>
      <c r="C76" s="133">
        <v>0.5</v>
      </c>
      <c r="D76" s="133">
        <v>0.6</v>
      </c>
      <c r="E76" s="49">
        <v>2024</v>
      </c>
      <c r="F76" s="1168" t="str">
        <f t="shared" si="16"/>
        <v>£m 20/21</v>
      </c>
      <c r="G76" s="1186" t="s">
        <v>53</v>
      </c>
      <c r="H76" s="1177"/>
      <c r="I76" s="81"/>
      <c r="J76" s="1170">
        <f t="shared" si="17"/>
        <v>3.1E-2</v>
      </c>
      <c r="K76" s="1170">
        <f t="shared" si="17"/>
        <v>3.1699999999999999E-2</v>
      </c>
      <c r="L76" s="1170">
        <f t="shared" si="17"/>
        <v>3.2300000000000002E-2</v>
      </c>
      <c r="M76" s="1170">
        <f t="shared" si="17"/>
        <v>3.2399999999999998E-2</v>
      </c>
      <c r="N76" s="1176">
        <f t="shared" si="17"/>
        <v>3.2599999999999997E-2</v>
      </c>
      <c r="O76" s="1177"/>
      <c r="P76" s="81"/>
      <c r="Q76" s="1170">
        <f t="shared" si="18"/>
        <v>5.2833944000000001E-2</v>
      </c>
      <c r="R76" s="1170">
        <f t="shared" si="18"/>
        <v>5.5875458000000003E-2</v>
      </c>
      <c r="S76" s="1170">
        <f t="shared" si="18"/>
        <v>5.5175427000000006E-2</v>
      </c>
      <c r="T76" s="1170">
        <f t="shared" si="18"/>
        <v>5.5320261000000003E-2</v>
      </c>
      <c r="U76" s="1176">
        <f t="shared" si="18"/>
        <v>5.5489234000000012E-2</v>
      </c>
    </row>
    <row r="77" spans="1:21">
      <c r="A77" s="12" t="s">
        <v>25</v>
      </c>
      <c r="B77" s="193" t="s">
        <v>81</v>
      </c>
      <c r="C77" s="133">
        <v>0.5</v>
      </c>
      <c r="D77" s="133">
        <v>0.6</v>
      </c>
      <c r="E77" s="49">
        <v>2022</v>
      </c>
      <c r="F77" s="1168" t="str">
        <f t="shared" si="16"/>
        <v>£m 18/19</v>
      </c>
      <c r="G77" s="1186" t="s">
        <v>25</v>
      </c>
      <c r="H77" s="1178">
        <f t="shared" ref="H77:L91" si="19">INDEX($C$42:$I$51,MATCH($G77,$B$42:$B$51,0),MATCH(H$62,$C$41:$I$41))</f>
        <v>2.0500000000000001E-2</v>
      </c>
      <c r="I77" s="1170">
        <f t="shared" si="19"/>
        <v>1.9E-2</v>
      </c>
      <c r="J77" s="1170">
        <f t="shared" si="19"/>
        <v>1.9199999999999998E-2</v>
      </c>
      <c r="K77" s="1170">
        <f t="shared" si="19"/>
        <v>2.1100000000000001E-2</v>
      </c>
      <c r="L77" s="1170">
        <f t="shared" si="19"/>
        <v>2.29E-2</v>
      </c>
      <c r="M77" s="81"/>
      <c r="N77" s="1179"/>
      <c r="O77" s="1178">
        <f t="shared" ref="O77:S91" si="20">INDEX($C$55:$I$59,MATCH($A77,$B$55:$B$59,0),MATCH(O$62,$C$54:$I$54))</f>
        <v>4.5181881000000007E-2</v>
      </c>
      <c r="P77" s="1170">
        <f t="shared" si="20"/>
        <v>4.5568104999999998E-2</v>
      </c>
      <c r="Q77" s="1170">
        <f t="shared" si="20"/>
        <v>5.2833943999999994E-2</v>
      </c>
      <c r="R77" s="1170">
        <f t="shared" si="20"/>
        <v>5.5875458000000003E-2</v>
      </c>
      <c r="S77" s="1170">
        <f t="shared" si="20"/>
        <v>5.5175426999999992E-2</v>
      </c>
      <c r="T77" s="81"/>
      <c r="U77" s="1179"/>
    </row>
    <row r="78" spans="1:21">
      <c r="A78" s="12" t="s">
        <v>25</v>
      </c>
      <c r="B78" s="193" t="s">
        <v>82</v>
      </c>
      <c r="C78" s="133">
        <v>0.5</v>
      </c>
      <c r="D78" s="133">
        <v>0.6</v>
      </c>
      <c r="E78" s="49">
        <v>2022</v>
      </c>
      <c r="F78" s="1168" t="str">
        <f t="shared" si="16"/>
        <v>£m 18/19</v>
      </c>
      <c r="G78" s="1186" t="s">
        <v>25</v>
      </c>
      <c r="H78" s="1178">
        <f t="shared" si="19"/>
        <v>2.0500000000000001E-2</v>
      </c>
      <c r="I78" s="1170">
        <f t="shared" si="19"/>
        <v>1.9E-2</v>
      </c>
      <c r="J78" s="1170">
        <f t="shared" si="19"/>
        <v>1.9199999999999998E-2</v>
      </c>
      <c r="K78" s="1170">
        <f t="shared" si="19"/>
        <v>2.1100000000000001E-2</v>
      </c>
      <c r="L78" s="1170">
        <f t="shared" si="19"/>
        <v>2.29E-2</v>
      </c>
      <c r="M78" s="81"/>
      <c r="N78" s="1179"/>
      <c r="O78" s="1178">
        <f t="shared" si="20"/>
        <v>4.5181881000000007E-2</v>
      </c>
      <c r="P78" s="1170">
        <f t="shared" si="20"/>
        <v>4.5568104999999998E-2</v>
      </c>
      <c r="Q78" s="1170">
        <f t="shared" si="20"/>
        <v>5.2833943999999994E-2</v>
      </c>
      <c r="R78" s="1170">
        <f t="shared" si="20"/>
        <v>5.5875458000000003E-2</v>
      </c>
      <c r="S78" s="1170">
        <f t="shared" si="20"/>
        <v>5.5175426999999992E-2</v>
      </c>
      <c r="T78" s="81"/>
      <c r="U78" s="1179"/>
    </row>
    <row r="79" spans="1:21">
      <c r="A79" s="12" t="s">
        <v>25</v>
      </c>
      <c r="B79" s="193" t="s">
        <v>4</v>
      </c>
      <c r="C79" s="133">
        <v>0.5</v>
      </c>
      <c r="D79" s="133">
        <v>0.6</v>
      </c>
      <c r="E79" s="49">
        <v>2022</v>
      </c>
      <c r="F79" s="1168" t="str">
        <f t="shared" si="16"/>
        <v>£m 18/19</v>
      </c>
      <c r="G79" s="1186" t="s">
        <v>25</v>
      </c>
      <c r="H79" s="1178">
        <f t="shared" si="19"/>
        <v>2.0500000000000001E-2</v>
      </c>
      <c r="I79" s="1170">
        <f t="shared" si="19"/>
        <v>1.9E-2</v>
      </c>
      <c r="J79" s="1170">
        <f t="shared" si="19"/>
        <v>1.9199999999999998E-2</v>
      </c>
      <c r="K79" s="1170">
        <f t="shared" si="19"/>
        <v>2.1100000000000001E-2</v>
      </c>
      <c r="L79" s="1170">
        <f t="shared" si="19"/>
        <v>2.29E-2</v>
      </c>
      <c r="M79" s="81"/>
      <c r="N79" s="1179"/>
      <c r="O79" s="1178">
        <f t="shared" si="20"/>
        <v>4.5181881000000007E-2</v>
      </c>
      <c r="P79" s="1170">
        <f t="shared" si="20"/>
        <v>4.5568104999999998E-2</v>
      </c>
      <c r="Q79" s="1170">
        <f t="shared" si="20"/>
        <v>5.2833943999999994E-2</v>
      </c>
      <c r="R79" s="1170">
        <f t="shared" si="20"/>
        <v>5.5875458000000003E-2</v>
      </c>
      <c r="S79" s="1170">
        <f t="shared" si="20"/>
        <v>5.5175426999999992E-2</v>
      </c>
      <c r="T79" s="81"/>
      <c r="U79" s="1179"/>
    </row>
    <row r="80" spans="1:21">
      <c r="A80" s="12" t="s">
        <v>25</v>
      </c>
      <c r="B80" s="193" t="s">
        <v>83</v>
      </c>
      <c r="C80" s="133">
        <v>0.5</v>
      </c>
      <c r="D80" s="133">
        <v>0.6</v>
      </c>
      <c r="E80" s="49">
        <v>2022</v>
      </c>
      <c r="F80" s="1168" t="str">
        <f t="shared" si="16"/>
        <v>£m 18/19</v>
      </c>
      <c r="G80" s="1186" t="s">
        <v>25</v>
      </c>
      <c r="H80" s="1178">
        <f t="shared" si="19"/>
        <v>2.0500000000000001E-2</v>
      </c>
      <c r="I80" s="1170">
        <f t="shared" si="19"/>
        <v>1.9E-2</v>
      </c>
      <c r="J80" s="1170">
        <f t="shared" si="19"/>
        <v>1.9199999999999998E-2</v>
      </c>
      <c r="K80" s="1170">
        <f t="shared" si="19"/>
        <v>2.1100000000000001E-2</v>
      </c>
      <c r="L80" s="1170">
        <f t="shared" si="19"/>
        <v>2.29E-2</v>
      </c>
      <c r="M80" s="81"/>
      <c r="N80" s="1179"/>
      <c r="O80" s="1178">
        <f t="shared" si="20"/>
        <v>4.5181881000000007E-2</v>
      </c>
      <c r="P80" s="1170">
        <f t="shared" si="20"/>
        <v>4.5568104999999998E-2</v>
      </c>
      <c r="Q80" s="1170">
        <f t="shared" si="20"/>
        <v>5.2833943999999994E-2</v>
      </c>
      <c r="R80" s="1170">
        <f t="shared" si="20"/>
        <v>5.5875458000000003E-2</v>
      </c>
      <c r="S80" s="1170">
        <f t="shared" si="20"/>
        <v>5.5175426999999992E-2</v>
      </c>
      <c r="T80" s="81"/>
      <c r="U80" s="1179"/>
    </row>
    <row r="81" spans="1:21">
      <c r="A81" s="12" t="s">
        <v>25</v>
      </c>
      <c r="B81" s="193" t="s">
        <v>84</v>
      </c>
      <c r="C81" s="133">
        <v>0.51</v>
      </c>
      <c r="D81" s="133">
        <v>0.6</v>
      </c>
      <c r="E81" s="49">
        <v>2022</v>
      </c>
      <c r="F81" s="1168" t="str">
        <f t="shared" si="16"/>
        <v>£m 18/19</v>
      </c>
      <c r="G81" s="1186" t="s">
        <v>56</v>
      </c>
      <c r="H81" s="1178">
        <f t="shared" si="19"/>
        <v>2.1100000000000001E-2</v>
      </c>
      <c r="I81" s="1170">
        <f t="shared" si="19"/>
        <v>1.9599999999999999E-2</v>
      </c>
      <c r="J81" s="1170">
        <f t="shared" si="19"/>
        <v>1.9799999999999998E-2</v>
      </c>
      <c r="K81" s="1170">
        <f t="shared" si="19"/>
        <v>2.1700000000000001E-2</v>
      </c>
      <c r="L81" s="1170">
        <f t="shared" si="19"/>
        <v>2.35E-2</v>
      </c>
      <c r="M81" s="81"/>
      <c r="N81" s="1179"/>
      <c r="O81" s="1178">
        <f t="shared" si="20"/>
        <v>4.5181881000000007E-2</v>
      </c>
      <c r="P81" s="1170">
        <f t="shared" si="20"/>
        <v>4.5568104999999998E-2</v>
      </c>
      <c r="Q81" s="1170">
        <f t="shared" si="20"/>
        <v>5.2833943999999994E-2</v>
      </c>
      <c r="R81" s="1170">
        <f t="shared" si="20"/>
        <v>5.5875458000000003E-2</v>
      </c>
      <c r="S81" s="1170">
        <f t="shared" si="20"/>
        <v>5.5175426999999992E-2</v>
      </c>
      <c r="T81" s="81"/>
      <c r="U81" s="1179"/>
    </row>
    <row r="82" spans="1:21">
      <c r="A82" s="12" t="s">
        <v>25</v>
      </c>
      <c r="B82" s="193" t="s">
        <v>85</v>
      </c>
      <c r="C82" s="133">
        <v>0.51</v>
      </c>
      <c r="D82" s="133">
        <v>0.6</v>
      </c>
      <c r="E82" s="49">
        <v>2022</v>
      </c>
      <c r="F82" s="1168" t="str">
        <f t="shared" si="16"/>
        <v>£m 18/19</v>
      </c>
      <c r="G82" s="1186" t="s">
        <v>56</v>
      </c>
      <c r="H82" s="1178">
        <f t="shared" si="19"/>
        <v>2.1100000000000001E-2</v>
      </c>
      <c r="I82" s="1170">
        <f t="shared" si="19"/>
        <v>1.9599999999999999E-2</v>
      </c>
      <c r="J82" s="1170">
        <f t="shared" si="19"/>
        <v>1.9799999999999998E-2</v>
      </c>
      <c r="K82" s="1170">
        <f t="shared" si="19"/>
        <v>2.1700000000000001E-2</v>
      </c>
      <c r="L82" s="1170">
        <f t="shared" si="19"/>
        <v>2.35E-2</v>
      </c>
      <c r="M82" s="81"/>
      <c r="N82" s="1179"/>
      <c r="O82" s="1178">
        <f t="shared" si="20"/>
        <v>4.5181881000000007E-2</v>
      </c>
      <c r="P82" s="1170">
        <f t="shared" si="20"/>
        <v>4.5568104999999998E-2</v>
      </c>
      <c r="Q82" s="1170">
        <f t="shared" si="20"/>
        <v>5.2833943999999994E-2</v>
      </c>
      <c r="R82" s="1170">
        <f t="shared" si="20"/>
        <v>5.5875458000000003E-2</v>
      </c>
      <c r="S82" s="1170">
        <f t="shared" si="20"/>
        <v>5.5175426999999992E-2</v>
      </c>
      <c r="T82" s="81"/>
      <c r="U82" s="1179"/>
    </row>
    <row r="83" spans="1:21">
      <c r="A83" s="12" t="s">
        <v>25</v>
      </c>
      <c r="B83" s="193" t="s">
        <v>86</v>
      </c>
      <c r="C83" s="133">
        <v>0.5</v>
      </c>
      <c r="D83" s="133">
        <v>0.6</v>
      </c>
      <c r="E83" s="49">
        <v>2022</v>
      </c>
      <c r="F83" s="1168" t="str">
        <f t="shared" si="16"/>
        <v>£m 18/19</v>
      </c>
      <c r="G83" s="1186" t="s">
        <v>25</v>
      </c>
      <c r="H83" s="1178">
        <f t="shared" si="19"/>
        <v>2.0500000000000001E-2</v>
      </c>
      <c r="I83" s="1170">
        <f t="shared" si="19"/>
        <v>1.9E-2</v>
      </c>
      <c r="J83" s="1170">
        <f t="shared" si="19"/>
        <v>1.9199999999999998E-2</v>
      </c>
      <c r="K83" s="1170">
        <f t="shared" si="19"/>
        <v>2.1100000000000001E-2</v>
      </c>
      <c r="L83" s="1170">
        <f t="shared" si="19"/>
        <v>2.29E-2</v>
      </c>
      <c r="M83" s="81"/>
      <c r="N83" s="1179"/>
      <c r="O83" s="1178">
        <f t="shared" si="20"/>
        <v>4.5181881000000007E-2</v>
      </c>
      <c r="P83" s="1170">
        <f t="shared" si="20"/>
        <v>4.5568104999999998E-2</v>
      </c>
      <c r="Q83" s="1170">
        <f t="shared" si="20"/>
        <v>5.2833943999999994E-2</v>
      </c>
      <c r="R83" s="1170">
        <f t="shared" si="20"/>
        <v>5.5875458000000003E-2</v>
      </c>
      <c r="S83" s="1170">
        <f t="shared" si="20"/>
        <v>5.5175426999999992E-2</v>
      </c>
      <c r="T83" s="81"/>
      <c r="U83" s="1179"/>
    </row>
    <row r="84" spans="1:21">
      <c r="A84" s="12" t="s">
        <v>25</v>
      </c>
      <c r="B84" s="193" t="s">
        <v>87</v>
      </c>
      <c r="C84" s="133">
        <v>0.5</v>
      </c>
      <c r="D84" s="133">
        <v>0.6</v>
      </c>
      <c r="E84" s="49">
        <v>2022</v>
      </c>
      <c r="F84" s="1168" t="str">
        <f t="shared" si="16"/>
        <v>£m 18/19</v>
      </c>
      <c r="G84" s="1186" t="s">
        <v>56</v>
      </c>
      <c r="H84" s="1178">
        <f t="shared" si="19"/>
        <v>2.1100000000000001E-2</v>
      </c>
      <c r="I84" s="1170">
        <f t="shared" si="19"/>
        <v>1.9599999999999999E-2</v>
      </c>
      <c r="J84" s="1170">
        <f t="shared" si="19"/>
        <v>1.9799999999999998E-2</v>
      </c>
      <c r="K84" s="1170">
        <f t="shared" si="19"/>
        <v>2.1700000000000001E-2</v>
      </c>
      <c r="L84" s="1170">
        <f t="shared" si="19"/>
        <v>2.35E-2</v>
      </c>
      <c r="M84" s="81"/>
      <c r="N84" s="1179"/>
      <c r="O84" s="1178">
        <f t="shared" si="20"/>
        <v>4.5181881000000007E-2</v>
      </c>
      <c r="P84" s="1170">
        <f t="shared" si="20"/>
        <v>4.5568104999999998E-2</v>
      </c>
      <c r="Q84" s="1170">
        <f t="shared" si="20"/>
        <v>5.2833943999999994E-2</v>
      </c>
      <c r="R84" s="1170">
        <f t="shared" si="20"/>
        <v>5.5875458000000003E-2</v>
      </c>
      <c r="S84" s="1170">
        <f t="shared" si="20"/>
        <v>5.5175426999999992E-2</v>
      </c>
      <c r="T84" s="81"/>
      <c r="U84" s="1179"/>
    </row>
    <row r="85" spans="1:21">
      <c r="A85" s="12" t="s">
        <v>27</v>
      </c>
      <c r="B85" s="193" t="s">
        <v>88</v>
      </c>
      <c r="C85" s="133">
        <v>0.61</v>
      </c>
      <c r="D85" s="133">
        <v>0.6</v>
      </c>
      <c r="E85" s="49">
        <v>2022</v>
      </c>
      <c r="F85" s="1168" t="str">
        <f t="shared" si="16"/>
        <v>£m 18/19</v>
      </c>
      <c r="G85" s="1186" t="s">
        <v>27</v>
      </c>
      <c r="H85" s="1178">
        <f t="shared" si="19"/>
        <v>2.0500000000000001E-2</v>
      </c>
      <c r="I85" s="1170">
        <f t="shared" si="19"/>
        <v>1.9E-2</v>
      </c>
      <c r="J85" s="1170">
        <f t="shared" si="19"/>
        <v>1.9199999999999998E-2</v>
      </c>
      <c r="K85" s="1170">
        <f t="shared" si="19"/>
        <v>2.1100000000000001E-2</v>
      </c>
      <c r="L85" s="1170">
        <f t="shared" si="19"/>
        <v>2.29E-2</v>
      </c>
      <c r="M85" s="81"/>
      <c r="N85" s="1179"/>
      <c r="O85" s="1178">
        <f t="shared" si="20"/>
        <v>4.5181881000000007E-2</v>
      </c>
      <c r="P85" s="1170">
        <f t="shared" si="20"/>
        <v>4.5568104999999991E-2</v>
      </c>
      <c r="Q85" s="1170">
        <f t="shared" si="20"/>
        <v>5.2833943999999994E-2</v>
      </c>
      <c r="R85" s="1170">
        <f t="shared" si="20"/>
        <v>5.587545800000001E-2</v>
      </c>
      <c r="S85" s="1170">
        <f t="shared" si="20"/>
        <v>5.5175426999999992E-2</v>
      </c>
      <c r="T85" s="81"/>
      <c r="U85" s="1179"/>
    </row>
    <row r="86" spans="1:21">
      <c r="A86" s="12" t="s">
        <v>27</v>
      </c>
      <c r="B86" s="193" t="s">
        <v>89</v>
      </c>
      <c r="C86" s="133">
        <v>0.61</v>
      </c>
      <c r="D86" s="133">
        <v>0.6</v>
      </c>
      <c r="E86" s="49">
        <v>2022</v>
      </c>
      <c r="F86" s="1168" t="str">
        <f t="shared" si="16"/>
        <v>£m 18/19</v>
      </c>
      <c r="G86" s="1186" t="s">
        <v>27</v>
      </c>
      <c r="H86" s="1178">
        <f t="shared" si="19"/>
        <v>2.0500000000000001E-2</v>
      </c>
      <c r="I86" s="1170">
        <f t="shared" si="19"/>
        <v>1.9E-2</v>
      </c>
      <c r="J86" s="1170">
        <f t="shared" si="19"/>
        <v>1.9199999999999998E-2</v>
      </c>
      <c r="K86" s="1170">
        <f t="shared" si="19"/>
        <v>2.1100000000000001E-2</v>
      </c>
      <c r="L86" s="1170">
        <f t="shared" si="19"/>
        <v>2.29E-2</v>
      </c>
      <c r="M86" s="81"/>
      <c r="N86" s="1179"/>
      <c r="O86" s="1178">
        <f t="shared" si="20"/>
        <v>4.5181881000000007E-2</v>
      </c>
      <c r="P86" s="1170">
        <f t="shared" si="20"/>
        <v>4.5568104999999991E-2</v>
      </c>
      <c r="Q86" s="1170">
        <f t="shared" si="20"/>
        <v>5.2833943999999994E-2</v>
      </c>
      <c r="R86" s="1170">
        <f t="shared" si="20"/>
        <v>5.587545800000001E-2</v>
      </c>
      <c r="S86" s="1170">
        <f t="shared" si="20"/>
        <v>5.5175426999999992E-2</v>
      </c>
      <c r="T86" s="81"/>
      <c r="U86" s="1179"/>
    </row>
    <row r="87" spans="1:21">
      <c r="A87" s="12" t="s">
        <v>27</v>
      </c>
      <c r="B87" s="193" t="s">
        <v>90</v>
      </c>
      <c r="C87" s="133">
        <v>0.61</v>
      </c>
      <c r="D87" s="133">
        <v>0.6</v>
      </c>
      <c r="E87" s="49">
        <v>2022</v>
      </c>
      <c r="F87" s="1168" t="str">
        <f t="shared" si="16"/>
        <v>£m 18/19</v>
      </c>
      <c r="G87" s="1186" t="s">
        <v>27</v>
      </c>
      <c r="H87" s="1178">
        <f t="shared" si="19"/>
        <v>2.0500000000000001E-2</v>
      </c>
      <c r="I87" s="1170">
        <f t="shared" si="19"/>
        <v>1.9E-2</v>
      </c>
      <c r="J87" s="1170">
        <f t="shared" si="19"/>
        <v>1.9199999999999998E-2</v>
      </c>
      <c r="K87" s="1170">
        <f t="shared" si="19"/>
        <v>2.1100000000000001E-2</v>
      </c>
      <c r="L87" s="1170">
        <f t="shared" si="19"/>
        <v>2.29E-2</v>
      </c>
      <c r="M87" s="81"/>
      <c r="N87" s="1179"/>
      <c r="O87" s="1178">
        <f t="shared" si="20"/>
        <v>4.5181881000000007E-2</v>
      </c>
      <c r="P87" s="1170">
        <f t="shared" si="20"/>
        <v>4.5568104999999991E-2</v>
      </c>
      <c r="Q87" s="1170">
        <f t="shared" si="20"/>
        <v>5.2833943999999994E-2</v>
      </c>
      <c r="R87" s="1170">
        <f t="shared" si="20"/>
        <v>5.587545800000001E-2</v>
      </c>
      <c r="S87" s="1170">
        <f t="shared" si="20"/>
        <v>5.5175426999999992E-2</v>
      </c>
      <c r="T87" s="81"/>
      <c r="U87" s="1179"/>
    </row>
    <row r="88" spans="1:21">
      <c r="A88" s="12" t="s">
        <v>22</v>
      </c>
      <c r="B88" s="193" t="s">
        <v>91</v>
      </c>
      <c r="C88" s="133">
        <v>0.67</v>
      </c>
      <c r="D88" s="133">
        <v>0.55000000000000004</v>
      </c>
      <c r="E88" s="49">
        <v>2022</v>
      </c>
      <c r="F88" s="1168" t="str">
        <f t="shared" si="16"/>
        <v>£m 18/19</v>
      </c>
      <c r="G88" s="1186" t="s">
        <v>55</v>
      </c>
      <c r="H88" s="1178">
        <f t="shared" si="19"/>
        <v>2.0500000000000001E-2</v>
      </c>
      <c r="I88" s="1170">
        <f t="shared" si="19"/>
        <v>1.9E-2</v>
      </c>
      <c r="J88" s="1170">
        <f t="shared" si="19"/>
        <v>1.9199999999999998E-2</v>
      </c>
      <c r="K88" s="1170">
        <f t="shared" si="19"/>
        <v>2.1100000000000001E-2</v>
      </c>
      <c r="L88" s="1170">
        <f t="shared" si="19"/>
        <v>2.29E-2</v>
      </c>
      <c r="M88" s="81"/>
      <c r="N88" s="1179"/>
      <c r="O88" s="1178">
        <f t="shared" si="20"/>
        <v>4.2439449777777784E-2</v>
      </c>
      <c r="P88" s="1170">
        <f t="shared" si="20"/>
        <v>4.2616093333333334E-2</v>
      </c>
      <c r="Q88" s="1170">
        <f t="shared" si="20"/>
        <v>4.909683911111111E-2</v>
      </c>
      <c r="R88" s="1170">
        <f t="shared" si="20"/>
        <v>5.2011518222222233E-2</v>
      </c>
      <c r="S88" s="1170">
        <f t="shared" si="20"/>
        <v>5.158926844444444E-2</v>
      </c>
      <c r="T88" s="81"/>
      <c r="U88" s="1179"/>
    </row>
    <row r="89" spans="1:21">
      <c r="A89" s="12" t="s">
        <v>29</v>
      </c>
      <c r="B89" s="193" t="s">
        <v>29</v>
      </c>
      <c r="C89" s="133">
        <v>1</v>
      </c>
      <c r="D89" s="133">
        <v>0.55000000000000004</v>
      </c>
      <c r="E89" s="49">
        <v>2022</v>
      </c>
      <c r="F89" s="1168" t="str">
        <f t="shared" si="16"/>
        <v>£m 18/19</v>
      </c>
      <c r="G89" s="1186" t="s">
        <v>29</v>
      </c>
      <c r="H89" s="1178">
        <f>INDEX($C$42:$I$51,MATCH($G89,$B$42:$B$51,0),MATCH(H$62,$C$41:$I$41))</f>
        <v>-5.9999999999999995E-4</v>
      </c>
      <c r="I89" s="1170">
        <f t="shared" si="19"/>
        <v>2.12E-2</v>
      </c>
      <c r="J89" s="1170">
        <f t="shared" si="19"/>
        <v>5.0099999999999999E-2</v>
      </c>
      <c r="K89" s="1170">
        <f t="shared" si="19"/>
        <v>4.7300000000000002E-2</v>
      </c>
      <c r="L89" s="1170">
        <f t="shared" si="19"/>
        <v>4.19E-2</v>
      </c>
      <c r="M89" s="81"/>
      <c r="N89" s="1179"/>
      <c r="O89" s="1178">
        <f t="shared" si="20"/>
        <v>7.5718976000000007E-2</v>
      </c>
      <c r="P89" s="1170">
        <f t="shared" si="20"/>
        <v>7.5510080000000007E-2</v>
      </c>
      <c r="Q89" s="1170">
        <f t="shared" si="20"/>
        <v>7.1580223999999998E-2</v>
      </c>
      <c r="R89" s="1170">
        <f t="shared" si="20"/>
        <v>6.9935168000000006E-2</v>
      </c>
      <c r="S89" s="1170">
        <f t="shared" si="20"/>
        <v>7.0313792E-2</v>
      </c>
      <c r="T89" s="81"/>
      <c r="U89" s="1179"/>
    </row>
    <row r="90" spans="1:21">
      <c r="A90" s="12" t="s">
        <v>22</v>
      </c>
      <c r="B90" s="193" t="s">
        <v>92</v>
      </c>
      <c r="C90" s="133">
        <v>0.51</v>
      </c>
      <c r="D90" s="133">
        <v>0.55000000000000004</v>
      </c>
      <c r="E90" s="49">
        <v>2022</v>
      </c>
      <c r="F90" s="1168" t="str">
        <f t="shared" si="16"/>
        <v>£m 18/19</v>
      </c>
      <c r="G90" s="1186" t="s">
        <v>55</v>
      </c>
      <c r="H90" s="1178">
        <f t="shared" si="19"/>
        <v>2.0500000000000001E-2</v>
      </c>
      <c r="I90" s="1170">
        <f t="shared" si="19"/>
        <v>1.9E-2</v>
      </c>
      <c r="J90" s="1170">
        <f t="shared" si="19"/>
        <v>1.9199999999999998E-2</v>
      </c>
      <c r="K90" s="1170">
        <f t="shared" si="19"/>
        <v>2.1100000000000001E-2</v>
      </c>
      <c r="L90" s="1170">
        <f t="shared" si="19"/>
        <v>2.29E-2</v>
      </c>
      <c r="M90" s="81"/>
      <c r="N90" s="1179"/>
      <c r="O90" s="1178">
        <f t="shared" si="20"/>
        <v>4.2439449777777784E-2</v>
      </c>
      <c r="P90" s="1170">
        <f t="shared" si="20"/>
        <v>4.2616093333333334E-2</v>
      </c>
      <c r="Q90" s="1170">
        <f t="shared" si="20"/>
        <v>4.909683911111111E-2</v>
      </c>
      <c r="R90" s="1170">
        <f t="shared" si="20"/>
        <v>5.2011518222222233E-2</v>
      </c>
      <c r="S90" s="1170">
        <f t="shared" si="20"/>
        <v>5.158926844444444E-2</v>
      </c>
      <c r="T90" s="81"/>
      <c r="U90" s="1179"/>
    </row>
    <row r="91" spans="1:21" ht="14" thickBot="1">
      <c r="A91" s="12" t="s">
        <v>22</v>
      </c>
      <c r="B91" s="194" t="s">
        <v>54</v>
      </c>
      <c r="C91" s="186">
        <v>0.64</v>
      </c>
      <c r="D91" s="186">
        <v>0.55000000000000004</v>
      </c>
      <c r="E91" s="195">
        <v>2022</v>
      </c>
      <c r="F91" s="1169" t="str">
        <f t="shared" si="16"/>
        <v>£m 18/19</v>
      </c>
      <c r="G91" s="1187" t="s">
        <v>54</v>
      </c>
      <c r="H91" s="1180">
        <f t="shared" si="19"/>
        <v>1.8184707641684131E-2</v>
      </c>
      <c r="I91" s="1181">
        <f t="shared" si="19"/>
        <v>1.5809503423148775E-2</v>
      </c>
      <c r="J91" s="1181">
        <f t="shared" si="19"/>
        <v>1.8000565597912722E-2</v>
      </c>
      <c r="K91" s="1181">
        <f t="shared" si="19"/>
        <v>2.3276186478151731E-2</v>
      </c>
      <c r="L91" s="1181">
        <f t="shared" si="19"/>
        <v>2.7418061040625063E-2</v>
      </c>
      <c r="M91" s="1182"/>
      <c r="N91" s="1183"/>
      <c r="O91" s="1180">
        <f t="shared" si="20"/>
        <v>4.2439449777777784E-2</v>
      </c>
      <c r="P91" s="1181">
        <f t="shared" si="20"/>
        <v>4.2616093333333334E-2</v>
      </c>
      <c r="Q91" s="1181">
        <f t="shared" si="20"/>
        <v>4.909683911111111E-2</v>
      </c>
      <c r="R91" s="1181">
        <f t="shared" si="20"/>
        <v>5.2011518222222233E-2</v>
      </c>
      <c r="S91" s="1181">
        <f t="shared" si="20"/>
        <v>5.158926844444444E-2</v>
      </c>
      <c r="T91" s="1182"/>
      <c r="U91" s="1183"/>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07"/>
    </row>
    <row r="99" spans="2:14">
      <c r="B99" s="116" t="s">
        <v>71</v>
      </c>
      <c r="C99" s="81"/>
      <c r="D99" s="81"/>
      <c r="E99" s="117">
        <v>0</v>
      </c>
      <c r="F99" s="117">
        <v>0</v>
      </c>
      <c r="G99" s="117">
        <v>0</v>
      </c>
      <c r="H99" s="117">
        <v>0</v>
      </c>
      <c r="I99" s="117">
        <v>0</v>
      </c>
      <c r="J99" s="1207"/>
    </row>
    <row r="100" spans="2:14">
      <c r="B100" s="116" t="s">
        <v>72</v>
      </c>
      <c r="C100" s="81"/>
      <c r="D100" s="81"/>
      <c r="E100" s="117">
        <v>0</v>
      </c>
      <c r="F100" s="117">
        <v>0</v>
      </c>
      <c r="G100" s="117">
        <v>0</v>
      </c>
      <c r="H100" s="117">
        <v>0</v>
      </c>
      <c r="I100" s="117">
        <v>0</v>
      </c>
      <c r="J100" s="1208"/>
      <c r="K100" s="94"/>
      <c r="L100" s="94"/>
      <c r="M100" s="94"/>
      <c r="N100" s="94"/>
    </row>
    <row r="101" spans="2:14">
      <c r="B101" s="116" t="s">
        <v>52</v>
      </c>
      <c r="C101" s="81"/>
      <c r="D101" s="81"/>
      <c r="E101" s="117">
        <v>0</v>
      </c>
      <c r="F101" s="117">
        <v>0</v>
      </c>
      <c r="G101" s="117">
        <v>0</v>
      </c>
      <c r="H101" s="117">
        <v>0</v>
      </c>
      <c r="I101" s="117">
        <v>0</v>
      </c>
      <c r="J101" s="1207"/>
    </row>
    <row r="102" spans="2:14">
      <c r="B102" s="116" t="s">
        <v>73</v>
      </c>
      <c r="C102" s="81"/>
      <c r="D102" s="81"/>
      <c r="E102" s="117">
        <v>0.95193542636815776</v>
      </c>
      <c r="F102" s="117">
        <v>0.95193542636815776</v>
      </c>
      <c r="G102" s="117">
        <v>0.95193542636815776</v>
      </c>
      <c r="H102" s="117">
        <v>0.95193542636815776</v>
      </c>
      <c r="I102" s="117">
        <v>0.95193542636815776</v>
      </c>
      <c r="J102" s="1207"/>
    </row>
    <row r="103" spans="2:14">
      <c r="B103" s="116" t="s">
        <v>74</v>
      </c>
      <c r="C103" s="81"/>
      <c r="D103" s="81"/>
      <c r="E103" s="117">
        <v>4.1422258913848848</v>
      </c>
      <c r="F103" s="117">
        <v>4.1422258913848848</v>
      </c>
      <c r="G103" s="117">
        <v>4.1422258913848848</v>
      </c>
      <c r="H103" s="117">
        <v>4.1422258913848848</v>
      </c>
      <c r="I103" s="117">
        <v>4.1422258913848848</v>
      </c>
      <c r="J103" s="1207"/>
    </row>
    <row r="104" spans="2:14">
      <c r="B104" s="116" t="s">
        <v>75</v>
      </c>
      <c r="C104" s="81"/>
      <c r="D104" s="81"/>
      <c r="E104" s="117">
        <v>0</v>
      </c>
      <c r="F104" s="117">
        <v>0</v>
      </c>
      <c r="G104" s="117">
        <v>0</v>
      </c>
      <c r="H104" s="117">
        <v>0</v>
      </c>
      <c r="I104" s="117">
        <v>0</v>
      </c>
      <c r="J104" s="1207"/>
    </row>
    <row r="105" spans="2:14">
      <c r="B105" s="116" t="s">
        <v>76</v>
      </c>
      <c r="C105" s="81"/>
      <c r="D105" s="81"/>
      <c r="E105" s="117">
        <v>0</v>
      </c>
      <c r="F105" s="117">
        <v>0</v>
      </c>
      <c r="G105" s="117">
        <v>0</v>
      </c>
      <c r="H105" s="117">
        <v>0</v>
      </c>
      <c r="I105" s="117">
        <v>0</v>
      </c>
      <c r="J105" s="1207"/>
    </row>
    <row r="106" spans="2:14">
      <c r="B106" s="116" t="s">
        <v>77</v>
      </c>
      <c r="C106" s="81"/>
      <c r="D106" s="81"/>
      <c r="E106" s="117">
        <v>1.2350000000000001</v>
      </c>
      <c r="F106" s="117">
        <v>0</v>
      </c>
      <c r="G106" s="117">
        <v>0</v>
      </c>
      <c r="H106" s="117">
        <v>0</v>
      </c>
      <c r="I106" s="117">
        <v>0</v>
      </c>
      <c r="J106" s="1207"/>
    </row>
    <row r="107" spans="2:14">
      <c r="B107" s="116" t="s">
        <v>50</v>
      </c>
      <c r="C107" s="81"/>
      <c r="D107" s="81"/>
      <c r="E107" s="117">
        <v>2.3050000000000002</v>
      </c>
      <c r="F107" s="117">
        <v>0</v>
      </c>
      <c r="G107" s="117">
        <v>0</v>
      </c>
      <c r="H107" s="117">
        <v>0</v>
      </c>
      <c r="I107" s="117">
        <v>0</v>
      </c>
      <c r="J107" s="1207"/>
    </row>
    <row r="108" spans="2:14">
      <c r="B108" s="116" t="s">
        <v>51</v>
      </c>
      <c r="C108" s="81"/>
      <c r="D108" s="81"/>
      <c r="E108" s="117">
        <v>1.38</v>
      </c>
      <c r="F108" s="117">
        <v>0</v>
      </c>
      <c r="G108" s="117">
        <v>0</v>
      </c>
      <c r="H108" s="117">
        <v>0</v>
      </c>
      <c r="I108" s="117">
        <v>0</v>
      </c>
      <c r="J108" s="1207"/>
    </row>
    <row r="109" spans="2:14">
      <c r="B109" s="116" t="s">
        <v>78</v>
      </c>
      <c r="C109" s="81"/>
      <c r="D109" s="81"/>
      <c r="E109" s="117">
        <v>1.38</v>
      </c>
      <c r="F109" s="117">
        <v>0</v>
      </c>
      <c r="G109" s="117">
        <v>0</v>
      </c>
      <c r="H109" s="117">
        <v>0</v>
      </c>
      <c r="I109" s="117">
        <v>0</v>
      </c>
      <c r="J109" s="1207"/>
    </row>
    <row r="110" spans="2:14">
      <c r="B110" s="116" t="s">
        <v>79</v>
      </c>
      <c r="C110" s="81"/>
      <c r="D110" s="81"/>
      <c r="E110" s="117">
        <v>0.69</v>
      </c>
      <c r="F110" s="117">
        <v>0</v>
      </c>
      <c r="G110" s="117">
        <v>0</v>
      </c>
      <c r="H110" s="117">
        <v>0</v>
      </c>
      <c r="I110" s="117">
        <v>0</v>
      </c>
      <c r="J110" s="1207"/>
    </row>
    <row r="111" spans="2:14">
      <c r="B111" s="116" t="s">
        <v>80</v>
      </c>
      <c r="C111" s="81"/>
      <c r="D111" s="81"/>
      <c r="E111" s="117">
        <v>1.1499999999999999</v>
      </c>
      <c r="F111" s="117">
        <v>0</v>
      </c>
      <c r="G111" s="117">
        <v>0</v>
      </c>
      <c r="H111" s="117">
        <v>0</v>
      </c>
      <c r="I111" s="117">
        <v>0</v>
      </c>
      <c r="J111" s="1207"/>
    </row>
    <row r="112" spans="2:14">
      <c r="B112" s="116" t="s">
        <v>81</v>
      </c>
      <c r="C112" s="1200">
        <v>0.23941679646380071</v>
      </c>
      <c r="D112" s="1200">
        <v>0.23941679646380071</v>
      </c>
      <c r="E112" s="1200">
        <v>0.23941679646380071</v>
      </c>
      <c r="F112" s="1200">
        <v>0.23941679646380071</v>
      </c>
      <c r="G112" s="1200">
        <v>0.23941679646380071</v>
      </c>
      <c r="H112" s="81"/>
      <c r="I112" s="81"/>
      <c r="J112" s="1207"/>
    </row>
    <row r="113" spans="2:12">
      <c r="B113" s="116" t="s">
        <v>82</v>
      </c>
      <c r="C113" s="1200">
        <v>-1.1368683772161603E-15</v>
      </c>
      <c r="D113" s="1200">
        <v>-1.1368683772161603E-15</v>
      </c>
      <c r="E113" s="1200">
        <v>-1.1368683772161603E-15</v>
      </c>
      <c r="F113" s="1200">
        <v>-1.1368683772161603E-15</v>
      </c>
      <c r="G113" s="1200">
        <v>-1.1368683772161603E-15</v>
      </c>
      <c r="H113" s="81"/>
      <c r="I113" s="81"/>
      <c r="J113" s="1207"/>
    </row>
    <row r="114" spans="2:12">
      <c r="B114" s="116" t="s">
        <v>4</v>
      </c>
      <c r="C114" s="1200">
        <v>-7.0993072540795777E-3</v>
      </c>
      <c r="D114" s="1200">
        <v>-7.0993072540795777E-3</v>
      </c>
      <c r="E114" s="1200">
        <v>-7.0993072540795777E-3</v>
      </c>
      <c r="F114" s="1200">
        <v>-7.0993072540795777E-3</v>
      </c>
      <c r="G114" s="1200">
        <v>-7.0993072540795777E-3</v>
      </c>
      <c r="H114" s="81"/>
      <c r="I114" s="81"/>
      <c r="J114" s="1207"/>
    </row>
    <row r="115" spans="2:12">
      <c r="B115" s="116" t="s">
        <v>83</v>
      </c>
      <c r="C115" s="1200">
        <v>-7.2862331602607357E-3</v>
      </c>
      <c r="D115" s="1200">
        <v>-7.2862331602607357E-3</v>
      </c>
      <c r="E115" s="1200">
        <v>-7.2862331602607357E-3</v>
      </c>
      <c r="F115" s="1200">
        <v>-7.2862331602607357E-3</v>
      </c>
      <c r="G115" s="1200">
        <v>-7.2862331602607357E-3</v>
      </c>
      <c r="H115" s="81"/>
      <c r="I115" s="81"/>
      <c r="J115" s="1207"/>
    </row>
    <row r="116" spans="2:12">
      <c r="B116" s="116" t="s">
        <v>84</v>
      </c>
      <c r="C116" s="1201">
        <v>1.149006</v>
      </c>
      <c r="D116" s="1201">
        <v>1.149006</v>
      </c>
      <c r="E116" s="1200">
        <v>1.149006</v>
      </c>
      <c r="F116" s="1200">
        <v>1.149006</v>
      </c>
      <c r="G116" s="1201">
        <v>1.149006</v>
      </c>
      <c r="H116" s="81"/>
      <c r="I116" s="81"/>
      <c r="J116" s="1207"/>
    </row>
    <row r="117" spans="2:12">
      <c r="B117" s="116" t="s">
        <v>85</v>
      </c>
      <c r="C117" s="1200">
        <v>0</v>
      </c>
      <c r="D117" s="1200">
        <v>0</v>
      </c>
      <c r="E117" s="1200">
        <v>0</v>
      </c>
      <c r="F117" s="1200">
        <v>0</v>
      </c>
      <c r="G117" s="1200">
        <v>0</v>
      </c>
      <c r="H117" s="81"/>
      <c r="I117" s="81"/>
      <c r="J117" s="1207"/>
    </row>
    <row r="118" spans="2:12">
      <c r="B118" s="116" t="s">
        <v>86</v>
      </c>
      <c r="C118" s="1200">
        <v>0</v>
      </c>
      <c r="D118" s="1200">
        <v>0</v>
      </c>
      <c r="E118" s="1200">
        <v>0</v>
      </c>
      <c r="F118" s="1200">
        <v>0</v>
      </c>
      <c r="G118" s="1200">
        <v>0</v>
      </c>
      <c r="H118" s="81"/>
      <c r="I118" s="81"/>
      <c r="J118" s="1207"/>
    </row>
    <row r="119" spans="2:12">
      <c r="B119" s="116" t="s">
        <v>87</v>
      </c>
      <c r="C119" s="1200">
        <v>0</v>
      </c>
      <c r="D119" s="1200">
        <v>0</v>
      </c>
      <c r="E119" s="1200">
        <v>0</v>
      </c>
      <c r="F119" s="1200">
        <v>0</v>
      </c>
      <c r="G119" s="1200">
        <v>0</v>
      </c>
      <c r="H119" s="81"/>
      <c r="I119" s="81"/>
      <c r="J119" s="1207"/>
    </row>
    <row r="120" spans="2:12">
      <c r="B120" s="116" t="s">
        <v>88</v>
      </c>
      <c r="C120" s="1200">
        <v>-4.3390000000000004</v>
      </c>
      <c r="D120" s="1200">
        <v>-4.3390000000000004</v>
      </c>
      <c r="E120" s="1200">
        <v>-4.3390000000000004</v>
      </c>
      <c r="F120" s="1200">
        <v>-4.3390000000000004</v>
      </c>
      <c r="G120" s="1200">
        <v>-4.3390000000000004</v>
      </c>
      <c r="H120" s="81"/>
      <c r="I120" s="81"/>
      <c r="J120" s="1207"/>
    </row>
    <row r="121" spans="2:12">
      <c r="B121" s="116" t="s">
        <v>89</v>
      </c>
      <c r="C121" s="1200">
        <v>0</v>
      </c>
      <c r="D121" s="1200">
        <v>0</v>
      </c>
      <c r="E121" s="1200">
        <v>0</v>
      </c>
      <c r="F121" s="1200">
        <v>0</v>
      </c>
      <c r="G121" s="1200">
        <v>0</v>
      </c>
      <c r="H121" s="81"/>
      <c r="I121" s="81"/>
      <c r="J121" s="1207"/>
    </row>
    <row r="122" spans="2:12">
      <c r="B122" s="116" t="s">
        <v>90</v>
      </c>
      <c r="C122" s="1200">
        <v>-4.3390000000000004</v>
      </c>
      <c r="D122" s="1200">
        <v>-4.3390000000000004</v>
      </c>
      <c r="E122" s="1200">
        <v>-4.3390000000000004</v>
      </c>
      <c r="F122" s="1200">
        <v>-4.3390000000000004</v>
      </c>
      <c r="G122" s="1200">
        <v>-4.3390000000000004</v>
      </c>
      <c r="H122" s="81"/>
      <c r="I122" s="81"/>
      <c r="J122" s="1207"/>
    </row>
    <row r="123" spans="2:12">
      <c r="B123" s="116" t="s">
        <v>91</v>
      </c>
      <c r="C123" s="1200">
        <v>-13</v>
      </c>
      <c r="D123" s="1200">
        <v>-13</v>
      </c>
      <c r="E123" s="1200">
        <v>-13</v>
      </c>
      <c r="F123" s="1200">
        <v>-13</v>
      </c>
      <c r="G123" s="1200">
        <v>-13</v>
      </c>
      <c r="H123" s="81"/>
      <c r="I123" s="81"/>
      <c r="J123" s="1207"/>
    </row>
    <row r="124" spans="2:12">
      <c r="B124" s="116" t="s">
        <v>29</v>
      </c>
      <c r="C124" s="1200">
        <v>0</v>
      </c>
      <c r="D124" s="1200">
        <v>0</v>
      </c>
      <c r="E124" s="1200">
        <v>0</v>
      </c>
      <c r="F124" s="1200">
        <v>0</v>
      </c>
      <c r="G124" s="1200">
        <v>0</v>
      </c>
      <c r="H124" s="81"/>
      <c r="I124" s="81"/>
      <c r="J124" s="1207"/>
    </row>
    <row r="125" spans="2:12">
      <c r="B125" s="116" t="s">
        <v>92</v>
      </c>
      <c r="C125" s="1200">
        <v>1</v>
      </c>
      <c r="D125" s="1200">
        <v>1</v>
      </c>
      <c r="E125" s="1200">
        <v>1</v>
      </c>
      <c r="F125" s="1200">
        <v>1</v>
      </c>
      <c r="G125" s="1200">
        <v>1</v>
      </c>
      <c r="H125" s="81"/>
      <c r="I125" s="81"/>
      <c r="J125" s="1207"/>
    </row>
    <row r="126" spans="2:12">
      <c r="B126" s="118" t="s">
        <v>54</v>
      </c>
      <c r="C126" s="1200">
        <v>4.3620000000000001</v>
      </c>
      <c r="D126" s="1200">
        <v>4.3620000000000001</v>
      </c>
      <c r="E126" s="1202">
        <v>4.3620000000000001</v>
      </c>
      <c r="F126" s="1202">
        <v>4.3620000000000001</v>
      </c>
      <c r="G126" s="1202">
        <v>4.3620000000000001</v>
      </c>
      <c r="H126" s="81"/>
      <c r="I126" s="81"/>
      <c r="J126" s="1207"/>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299" t="s">
        <v>19</v>
      </c>
      <c r="C141" s="1300"/>
      <c r="D141" s="37"/>
      <c r="E141" s="37"/>
    </row>
    <row r="142" spans="1:14">
      <c r="A142" s="35"/>
      <c r="B142" s="1303" t="s">
        <v>96</v>
      </c>
      <c r="C142" s="1304"/>
      <c r="D142" s="37"/>
      <c r="E142" s="37"/>
    </row>
    <row r="143" spans="1:14">
      <c r="A143" s="35"/>
      <c r="B143" s="1301" t="s">
        <v>97</v>
      </c>
      <c r="C143" s="1302"/>
      <c r="D143" s="37"/>
      <c r="E143" s="37"/>
    </row>
    <row r="144" spans="1:14">
      <c r="A144" s="35"/>
      <c r="B144" s="1301" t="s">
        <v>98</v>
      </c>
      <c r="C144" s="1302"/>
      <c r="D144" s="37"/>
      <c r="E144" s="37"/>
    </row>
    <row r="145" spans="1:7">
      <c r="A145" s="35"/>
      <c r="B145" s="1301" t="s">
        <v>99</v>
      </c>
      <c r="C145" s="1302"/>
      <c r="D145" s="37"/>
      <c r="E145" s="37"/>
    </row>
    <row r="146" spans="1:7">
      <c r="A146" s="35"/>
      <c r="B146" s="1301" t="s">
        <v>100</v>
      </c>
      <c r="C146" s="1302"/>
      <c r="D146" s="37"/>
      <c r="E146" s="37"/>
    </row>
    <row r="147" spans="1:7">
      <c r="A147" s="35"/>
      <c r="B147" s="1301" t="s">
        <v>101</v>
      </c>
      <c r="C147" s="1302"/>
      <c r="D147" s="37"/>
      <c r="E147" s="37"/>
    </row>
    <row r="148" spans="1:7">
      <c r="A148" s="35"/>
      <c r="B148" s="1301" t="s">
        <v>102</v>
      </c>
      <c r="C148" s="1302"/>
      <c r="D148" s="37"/>
      <c r="E148" s="37"/>
    </row>
    <row r="149" spans="1:7">
      <c r="A149" s="35"/>
      <c r="B149" s="1324" t="s">
        <v>103</v>
      </c>
      <c r="C149" s="1325"/>
      <c r="D149" s="37"/>
      <c r="E149" s="37"/>
    </row>
    <row r="150" spans="1:7">
      <c r="A150" s="35"/>
      <c r="B150" s="37"/>
      <c r="C150" s="37"/>
      <c r="D150" s="37"/>
      <c r="E150" s="37"/>
    </row>
    <row r="151" spans="1:7">
      <c r="A151" s="35"/>
      <c r="B151" s="37"/>
      <c r="C151" s="37"/>
      <c r="D151" s="37"/>
      <c r="E151" s="37"/>
    </row>
    <row r="152" spans="1:7">
      <c r="A152" s="35"/>
      <c r="B152" s="1299" t="s">
        <v>25</v>
      </c>
      <c r="C152" s="1300"/>
      <c r="D152" s="37"/>
      <c r="E152" s="37"/>
    </row>
    <row r="153" spans="1:7">
      <c r="A153" s="35"/>
      <c r="B153" s="1303" t="s">
        <v>104</v>
      </c>
      <c r="C153" s="1304"/>
      <c r="E153" s="37"/>
    </row>
    <row r="154" spans="1:7">
      <c r="A154" s="35"/>
      <c r="B154" s="1301" t="s">
        <v>105</v>
      </c>
      <c r="C154" s="1302"/>
      <c r="D154" s="37"/>
      <c r="E154" s="37"/>
    </row>
    <row r="155" spans="1:7" ht="25.5" customHeight="1">
      <c r="A155" s="35"/>
      <c r="B155" s="1301" t="s">
        <v>106</v>
      </c>
      <c r="C155" s="1302"/>
      <c r="D155" s="37"/>
      <c r="E155" s="37"/>
      <c r="G155" t="s">
        <v>107</v>
      </c>
    </row>
    <row r="156" spans="1:7" ht="25.5" customHeight="1">
      <c r="A156" s="35"/>
      <c r="B156" s="1301" t="s">
        <v>108</v>
      </c>
      <c r="C156" s="1302"/>
      <c r="D156" s="37"/>
      <c r="E156" s="37"/>
    </row>
    <row r="157" spans="1:7" ht="14.25" customHeight="1">
      <c r="A157" s="35"/>
      <c r="B157" s="1301" t="s">
        <v>109</v>
      </c>
      <c r="C157" s="1302"/>
      <c r="D157" s="37"/>
      <c r="E157" s="37"/>
    </row>
    <row r="158" spans="1:7" ht="25.5" customHeight="1">
      <c r="A158" s="35"/>
      <c r="B158" s="1301" t="s">
        <v>110</v>
      </c>
      <c r="C158" s="1302"/>
      <c r="D158" s="37"/>
      <c r="E158" s="37"/>
    </row>
    <row r="159" spans="1:7" ht="12" customHeight="1">
      <c r="A159" s="35"/>
      <c r="B159" s="1301"/>
      <c r="C159" s="1302"/>
      <c r="D159" s="37"/>
      <c r="E159" s="37"/>
    </row>
    <row r="160" spans="1:7">
      <c r="A160" s="35"/>
      <c r="B160" s="1324"/>
      <c r="C160" s="1325"/>
      <c r="D160" s="37"/>
      <c r="E160" s="37"/>
    </row>
    <row r="161" spans="1:9">
      <c r="A161" s="35"/>
      <c r="B161" s="37"/>
      <c r="C161" s="37"/>
      <c r="D161" s="37"/>
      <c r="E161" s="37"/>
    </row>
    <row r="162" spans="1:9">
      <c r="A162" s="35"/>
      <c r="B162" s="37"/>
      <c r="C162" s="37"/>
      <c r="D162" s="37"/>
      <c r="E162" s="37"/>
    </row>
    <row r="163" spans="1:9" ht="12.75" customHeight="1">
      <c r="A163" s="35"/>
      <c r="B163" s="1295" t="s">
        <v>88</v>
      </c>
      <c r="C163" s="1296"/>
      <c r="D163" s="37"/>
      <c r="E163" s="1305" t="s">
        <v>90</v>
      </c>
      <c r="F163" s="1305"/>
      <c r="G163" s="1305"/>
      <c r="H163" s="1306"/>
      <c r="I163" s="13"/>
    </row>
    <row r="164" spans="1:9" ht="12.75" customHeight="1">
      <c r="A164" s="35"/>
      <c r="B164" s="1303" t="s">
        <v>111</v>
      </c>
      <c r="C164" s="1304"/>
      <c r="E164" s="1310"/>
      <c r="F164" s="1311"/>
      <c r="G164" s="1311"/>
      <c r="H164" s="1311"/>
      <c r="I164" s="91"/>
    </row>
    <row r="165" spans="1:9" ht="12.75" customHeight="1">
      <c r="A165" s="35"/>
      <c r="B165" s="1301" t="s">
        <v>112</v>
      </c>
      <c r="C165" s="1302"/>
      <c r="E165" s="1310"/>
      <c r="F165" s="1311"/>
      <c r="G165" s="1311"/>
      <c r="H165" s="1311"/>
      <c r="I165" s="91"/>
    </row>
    <row r="166" spans="1:9" ht="12.75" customHeight="1">
      <c r="A166" s="35"/>
      <c r="B166" s="1301"/>
      <c r="C166" s="1302"/>
      <c r="D166" s="37"/>
      <c r="E166" s="1307" t="s">
        <v>111</v>
      </c>
      <c r="F166" s="1307"/>
      <c r="G166" s="1307"/>
      <c r="H166" s="1307"/>
      <c r="I166" s="91"/>
    </row>
    <row r="167" spans="1:9" ht="12.75" customHeight="1">
      <c r="A167" s="35"/>
      <c r="B167" s="1301"/>
      <c r="C167" s="1302"/>
      <c r="D167" s="37"/>
      <c r="E167" s="1308" t="s">
        <v>112</v>
      </c>
      <c r="F167" s="1308"/>
      <c r="G167" s="1308"/>
      <c r="H167" s="1308"/>
      <c r="I167" s="91"/>
    </row>
    <row r="168" spans="1:9" ht="12.75" customHeight="1">
      <c r="A168" s="35"/>
      <c r="B168" s="1301"/>
      <c r="C168" s="1302"/>
      <c r="D168" s="37"/>
      <c r="E168" s="1309"/>
      <c r="F168" s="1309"/>
      <c r="G168" s="1309"/>
      <c r="H168" s="1309"/>
      <c r="I168" s="91"/>
    </row>
    <row r="169" spans="1:9" ht="12.75" customHeight="1">
      <c r="A169" s="35"/>
      <c r="B169" s="1301"/>
      <c r="C169" s="1302"/>
      <c r="D169" s="37"/>
      <c r="E169" s="1309"/>
      <c r="F169" s="1309"/>
      <c r="G169" s="1309"/>
      <c r="H169" s="1309"/>
      <c r="I169" s="91"/>
    </row>
    <row r="170" spans="1:9" ht="12.75" customHeight="1">
      <c r="A170" s="35"/>
      <c r="B170" s="1301"/>
      <c r="C170" s="1302"/>
      <c r="D170" s="37"/>
      <c r="E170" s="1296"/>
      <c r="F170" s="1296"/>
      <c r="G170" s="1296"/>
      <c r="H170" s="1296"/>
      <c r="I170" s="91"/>
    </row>
    <row r="171" spans="1:9" ht="12" customHeight="1">
      <c r="A171" s="35"/>
      <c r="B171" s="1324"/>
      <c r="C171" s="1325"/>
      <c r="D171" s="37"/>
      <c r="E171" s="1300"/>
      <c r="F171" s="1300"/>
      <c r="G171" s="1300"/>
      <c r="H171" s="1300"/>
      <c r="I171" s="91"/>
    </row>
    <row r="172" spans="1:9">
      <c r="A172" s="35"/>
      <c r="B172" s="37"/>
      <c r="C172" s="37"/>
      <c r="D172" s="37"/>
      <c r="E172" s="37"/>
    </row>
    <row r="173" spans="1:9">
      <c r="A173" s="35"/>
      <c r="B173" s="37"/>
      <c r="C173" s="37"/>
      <c r="D173" s="37"/>
      <c r="E173" s="37"/>
    </row>
    <row r="174" spans="1:9">
      <c r="A174" s="35"/>
      <c r="B174" s="1326" t="s">
        <v>91</v>
      </c>
      <c r="C174" s="1327"/>
      <c r="D174" s="37"/>
      <c r="E174" s="1295" t="s">
        <v>29</v>
      </c>
      <c r="F174" s="1295"/>
      <c r="G174" s="1295"/>
      <c r="H174" s="1296"/>
      <c r="I174" s="13"/>
    </row>
    <row r="175" spans="1:9" ht="13.5" customHeight="1">
      <c r="A175" s="35"/>
      <c r="B175" s="1303" t="s">
        <v>113</v>
      </c>
      <c r="C175" s="1304"/>
      <c r="E175" s="1299" t="s">
        <v>114</v>
      </c>
      <c r="F175" s="1315"/>
      <c r="G175" s="1315"/>
      <c r="H175" s="1316"/>
      <c r="I175" s="91"/>
    </row>
    <row r="176" spans="1:9" ht="12.75" customHeight="1">
      <c r="A176" s="35"/>
      <c r="B176" s="1301" t="s">
        <v>115</v>
      </c>
      <c r="C176" s="1302"/>
      <c r="E176" s="1317"/>
      <c r="F176" s="1317"/>
      <c r="G176" s="1317"/>
      <c r="H176" s="1318"/>
      <c r="I176" s="91"/>
    </row>
    <row r="177" spans="1:9" ht="13.5" customHeight="1">
      <c r="A177" s="35"/>
      <c r="B177" s="1301" t="s">
        <v>116</v>
      </c>
      <c r="C177" s="1302"/>
      <c r="E177" s="1289"/>
      <c r="F177" s="1289"/>
      <c r="G177" s="1289"/>
      <c r="H177" s="1290"/>
      <c r="I177" s="91"/>
    </row>
    <row r="178" spans="1:9" ht="12.75" customHeight="1">
      <c r="A178" s="35"/>
      <c r="B178" s="1301" t="s">
        <v>117</v>
      </c>
      <c r="C178" s="1302"/>
      <c r="E178" s="1289"/>
      <c r="F178" s="1289"/>
      <c r="G178" s="1289"/>
      <c r="H178" s="1290"/>
      <c r="I178" s="91"/>
    </row>
    <row r="179" spans="1:9" ht="13.5" customHeight="1">
      <c r="A179" s="35"/>
      <c r="B179" s="1301" t="s">
        <v>118</v>
      </c>
      <c r="C179" s="1302"/>
      <c r="E179" s="1289"/>
      <c r="F179" s="1289"/>
      <c r="G179" s="1289"/>
      <c r="H179" s="1290"/>
      <c r="I179" s="91"/>
    </row>
    <row r="180" spans="1:9" ht="13.5" customHeight="1">
      <c r="A180" s="35"/>
      <c r="B180" s="1301" t="s">
        <v>119</v>
      </c>
      <c r="C180" s="1302"/>
      <c r="E180" s="1289"/>
      <c r="F180" s="1289"/>
      <c r="G180" s="1289"/>
      <c r="H180" s="1290"/>
      <c r="I180" s="91"/>
    </row>
    <row r="181" spans="1:9">
      <c r="A181" s="35"/>
      <c r="B181" s="1324"/>
      <c r="C181" s="1325"/>
      <c r="D181" s="37"/>
      <c r="E181" s="1313"/>
      <c r="F181" s="1313"/>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295" t="s">
        <v>92</v>
      </c>
      <c r="C184" s="1296"/>
      <c r="D184" s="37"/>
      <c r="E184" s="1295" t="s">
        <v>54</v>
      </c>
      <c r="F184" s="1295"/>
      <c r="G184" s="1295"/>
      <c r="H184" s="1296"/>
      <c r="I184" s="130"/>
    </row>
    <row r="185" spans="1:9" ht="12.75" customHeight="1">
      <c r="A185" s="35"/>
      <c r="B185" s="1303" t="s">
        <v>113</v>
      </c>
      <c r="C185" s="1314"/>
      <c r="E185" s="1329" t="s">
        <v>113</v>
      </c>
      <c r="F185" s="1330"/>
      <c r="G185" s="1330"/>
      <c r="H185" s="1331"/>
      <c r="I185" s="91"/>
    </row>
    <row r="186" spans="1:9" ht="12.75" customHeight="1">
      <c r="A186" s="35"/>
      <c r="B186" s="1301" t="s">
        <v>115</v>
      </c>
      <c r="C186" s="1312"/>
      <c r="E186" s="1329" t="s">
        <v>115</v>
      </c>
      <c r="F186" s="1330"/>
      <c r="G186" s="1330"/>
      <c r="H186" s="1331"/>
      <c r="I186" s="91"/>
    </row>
    <row r="187" spans="1:9" ht="12.75" customHeight="1">
      <c r="A187" s="35"/>
      <c r="B187" s="1301" t="s">
        <v>116</v>
      </c>
      <c r="C187" s="1312"/>
      <c r="E187" s="1329" t="s">
        <v>116</v>
      </c>
      <c r="F187" s="1330"/>
      <c r="G187" s="1330"/>
      <c r="H187" s="1331"/>
      <c r="I187" s="91"/>
    </row>
    <row r="188" spans="1:9" ht="12.75" customHeight="1">
      <c r="A188" s="35"/>
      <c r="B188" s="1301" t="s">
        <v>117</v>
      </c>
      <c r="C188" s="1312"/>
      <c r="E188" s="1329" t="s">
        <v>117</v>
      </c>
      <c r="F188" s="1330"/>
      <c r="G188" s="1330"/>
      <c r="H188" s="1331"/>
      <c r="I188" s="91"/>
    </row>
    <row r="189" spans="1:9" ht="12.75" customHeight="1">
      <c r="A189" s="35"/>
      <c r="B189" s="1301" t="s">
        <v>118</v>
      </c>
      <c r="C189" s="1312"/>
      <c r="E189" s="1329" t="s">
        <v>118</v>
      </c>
      <c r="F189" s="1330"/>
      <c r="G189" s="1330"/>
      <c r="H189" s="1331"/>
      <c r="I189" s="91"/>
    </row>
    <row r="190" spans="1:9" ht="12.75" customHeight="1">
      <c r="A190" s="35"/>
      <c r="B190" s="1301" t="s">
        <v>119</v>
      </c>
      <c r="C190" s="1312"/>
      <c r="E190" s="1329" t="s">
        <v>119</v>
      </c>
      <c r="F190" s="1330"/>
      <c r="G190" s="1330"/>
      <c r="H190" s="1331"/>
      <c r="I190" s="91"/>
    </row>
    <row r="191" spans="1:9">
      <c r="A191" s="35"/>
      <c r="B191" s="1291"/>
      <c r="C191" s="1292"/>
      <c r="D191" s="37"/>
      <c r="E191" s="1291"/>
      <c r="F191" s="1291"/>
      <c r="G191" s="1291"/>
      <c r="H191" s="1292"/>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07"/>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297" t="s">
        <v>19</v>
      </c>
      <c r="C206" s="1298"/>
      <c r="D206" s="37"/>
      <c r="E206" s="37"/>
    </row>
    <row r="207" spans="1:13" ht="12.75" customHeight="1">
      <c r="A207" s="35"/>
      <c r="B207" s="1293" t="s">
        <v>122</v>
      </c>
      <c r="C207" s="1294"/>
      <c r="D207" s="37"/>
      <c r="E207" s="37"/>
    </row>
    <row r="208" spans="1:13" ht="12.75" customHeight="1">
      <c r="A208" s="35"/>
      <c r="B208" s="1289" t="s">
        <v>123</v>
      </c>
      <c r="C208" s="1290"/>
      <c r="D208" s="37"/>
      <c r="E208" s="37"/>
    </row>
    <row r="209" spans="1:5" ht="12.75" customHeight="1">
      <c r="A209" s="35"/>
      <c r="B209" s="1289"/>
      <c r="C209" s="1290"/>
      <c r="D209" s="37"/>
      <c r="E209" s="37"/>
    </row>
    <row r="210" spans="1:5" ht="12.75" customHeight="1">
      <c r="A210" s="35"/>
      <c r="B210" s="1289"/>
      <c r="C210" s="1290"/>
      <c r="D210" s="37"/>
      <c r="E210" s="37"/>
    </row>
    <row r="211" spans="1:5" ht="12.75" customHeight="1">
      <c r="A211" s="35"/>
      <c r="B211" s="1289"/>
      <c r="C211" s="1290"/>
      <c r="D211" s="37"/>
      <c r="E211" s="37"/>
    </row>
    <row r="212" spans="1:5" ht="12.75" customHeight="1">
      <c r="A212" s="35"/>
      <c r="B212" s="1289"/>
      <c r="C212" s="1290"/>
      <c r="D212" s="37"/>
      <c r="E212" s="37"/>
    </row>
    <row r="213" spans="1:5">
      <c r="A213" s="35"/>
      <c r="B213" s="1289"/>
      <c r="C213" s="1290"/>
      <c r="D213" s="37"/>
      <c r="E213" s="37"/>
    </row>
    <row r="214" spans="1:5" ht="12.75" customHeight="1">
      <c r="A214" s="35"/>
      <c r="B214" s="1291"/>
      <c r="C214" s="1292"/>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299" t="s">
        <v>25</v>
      </c>
      <c r="C217" s="1300"/>
      <c r="D217" s="37"/>
      <c r="E217" s="37"/>
    </row>
    <row r="218" spans="1:5" ht="12.75" customHeight="1">
      <c r="A218" s="35"/>
      <c r="B218" s="1293" t="s">
        <v>124</v>
      </c>
      <c r="C218" s="1294"/>
      <c r="E218" s="37"/>
    </row>
    <row r="219" spans="1:5" ht="12.75" customHeight="1">
      <c r="A219" s="35"/>
      <c r="B219" s="1289" t="s">
        <v>125</v>
      </c>
      <c r="C219" s="1290"/>
      <c r="D219" s="37"/>
      <c r="E219" s="37"/>
    </row>
    <row r="220" spans="1:5" ht="12.75" customHeight="1">
      <c r="A220" s="35"/>
      <c r="B220" s="1289"/>
      <c r="C220" s="1290"/>
      <c r="D220" s="37"/>
      <c r="E220" s="37"/>
    </row>
    <row r="221" spans="1:5" ht="12.75" customHeight="1">
      <c r="A221" s="35"/>
      <c r="B221" s="1289"/>
      <c r="C221" s="1290"/>
      <c r="D221" s="37"/>
      <c r="E221" s="37"/>
    </row>
    <row r="222" spans="1:5">
      <c r="A222" s="35"/>
      <c r="B222" s="1289"/>
      <c r="C222" s="1290"/>
      <c r="D222" s="37"/>
      <c r="E222" s="37"/>
    </row>
    <row r="223" spans="1:5">
      <c r="A223" s="35"/>
      <c r="B223" s="1289"/>
      <c r="C223" s="1290"/>
      <c r="D223" s="37"/>
      <c r="E223" s="37"/>
    </row>
    <row r="224" spans="1:5" ht="12.75" customHeight="1">
      <c r="A224" s="35"/>
      <c r="B224" s="1289"/>
      <c r="C224" s="1290"/>
      <c r="D224" s="37"/>
      <c r="E224" s="37"/>
    </row>
    <row r="225" spans="1:9">
      <c r="A225" s="35"/>
      <c r="B225" s="1291"/>
      <c r="C225" s="1292"/>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295" t="str">
        <f>B86</f>
        <v>NGGT (SO)</v>
      </c>
      <c r="F228" s="1295"/>
      <c r="G228" s="1295"/>
      <c r="H228" s="1295"/>
      <c r="I228" s="1296"/>
    </row>
    <row r="229" spans="1:9">
      <c r="A229" s="35"/>
      <c r="B229" s="1293" t="s">
        <v>126</v>
      </c>
      <c r="C229" s="1294"/>
      <c r="E229" s="1310"/>
      <c r="F229" s="1311"/>
      <c r="G229" s="1311"/>
      <c r="H229" s="1311"/>
      <c r="I229" s="1332"/>
    </row>
    <row r="230" spans="1:9" ht="25.5" customHeight="1">
      <c r="A230" s="35"/>
      <c r="B230" s="1289" t="s">
        <v>127</v>
      </c>
      <c r="C230" s="1290"/>
      <c r="E230" s="1310"/>
      <c r="F230" s="1311"/>
      <c r="G230" s="1311"/>
      <c r="H230" s="1311"/>
      <c r="I230" s="1332"/>
    </row>
    <row r="231" spans="1:9" ht="13.5" customHeight="1">
      <c r="A231" s="35"/>
      <c r="B231" s="1289" t="s">
        <v>128</v>
      </c>
      <c r="C231" s="1290"/>
      <c r="D231" s="37"/>
      <c r="E231" s="1310"/>
      <c r="F231" s="1311"/>
      <c r="G231" s="1311"/>
      <c r="H231" s="1311"/>
      <c r="I231" s="1332"/>
    </row>
    <row r="232" spans="1:9" ht="13.5" customHeight="1">
      <c r="A232" s="35"/>
      <c r="B232" s="1289"/>
      <c r="C232" s="1290"/>
      <c r="D232" s="37"/>
      <c r="E232" s="1333" t="s">
        <v>129</v>
      </c>
      <c r="F232" s="1334"/>
      <c r="G232" s="1334"/>
      <c r="H232" s="1334"/>
      <c r="I232" s="1335"/>
    </row>
    <row r="233" spans="1:9" ht="13.5" customHeight="1">
      <c r="A233" s="35"/>
      <c r="B233" s="181"/>
      <c r="C233" s="157"/>
      <c r="D233" s="37"/>
      <c r="E233" s="1333" t="s">
        <v>130</v>
      </c>
      <c r="F233" s="1334"/>
      <c r="G233" s="1334"/>
      <c r="H233" s="1334"/>
      <c r="I233" s="1335"/>
    </row>
    <row r="234" spans="1:9" ht="13.5" customHeight="1">
      <c r="A234" s="35"/>
      <c r="B234" s="1289"/>
      <c r="C234" s="1290"/>
      <c r="D234" s="37"/>
      <c r="E234" s="1333" t="s">
        <v>131</v>
      </c>
      <c r="F234" s="1334"/>
      <c r="G234" s="1334"/>
      <c r="H234" s="1334"/>
      <c r="I234" s="1335"/>
    </row>
    <row r="235" spans="1:9" ht="13.5" customHeight="1">
      <c r="A235" s="35"/>
      <c r="B235" s="1289"/>
      <c r="C235" s="1290"/>
      <c r="D235" s="37"/>
      <c r="E235" s="1336" t="s">
        <v>132</v>
      </c>
      <c r="F235" s="1337"/>
      <c r="G235" s="1337"/>
      <c r="H235" s="1337"/>
      <c r="I235" s="1338"/>
    </row>
    <row r="236" spans="1:9" ht="12.75" customHeight="1">
      <c r="A236" s="35"/>
      <c r="B236" s="1291"/>
      <c r="C236" s="1292"/>
      <c r="D236" s="37"/>
      <c r="E236" s="1339" t="s">
        <v>133</v>
      </c>
      <c r="F236" s="1340"/>
      <c r="G236" s="1340"/>
      <c r="H236" s="1340"/>
      <c r="I236" s="1341"/>
    </row>
    <row r="237" spans="1:9">
      <c r="A237" s="35"/>
      <c r="B237" s="37"/>
      <c r="C237" s="37"/>
      <c r="D237" s="37"/>
      <c r="E237" s="37"/>
    </row>
    <row r="238" spans="1:9" ht="12.75" customHeight="1">
      <c r="A238" s="35"/>
      <c r="B238" s="37"/>
      <c r="C238" s="37"/>
      <c r="D238" s="37"/>
      <c r="E238" s="37"/>
    </row>
    <row r="239" spans="1:9">
      <c r="A239" s="35"/>
      <c r="B239" s="1295" t="s">
        <v>90</v>
      </c>
      <c r="C239" s="1296"/>
      <c r="D239" s="1227"/>
      <c r="E239" s="1295" t="s">
        <v>91</v>
      </c>
      <c r="F239" s="1295"/>
      <c r="G239" s="1295"/>
      <c r="H239" s="1295"/>
      <c r="I239" s="1296"/>
    </row>
    <row r="240" spans="1:9" ht="12.75" customHeight="1">
      <c r="A240" s="35"/>
      <c r="B240" s="1293" t="s">
        <v>126</v>
      </c>
      <c r="C240" s="1294"/>
      <c r="D240" s="1207"/>
      <c r="E240" s="1293" t="s">
        <v>126</v>
      </c>
      <c r="F240" s="1293"/>
      <c r="G240" s="1293"/>
      <c r="H240" s="1293"/>
      <c r="I240" s="1294"/>
    </row>
    <row r="241" spans="1:9" ht="12.75" customHeight="1">
      <c r="A241" s="35"/>
      <c r="B241" s="1289" t="s">
        <v>127</v>
      </c>
      <c r="C241" s="1290"/>
      <c r="D241" s="1207"/>
      <c r="E241" s="1289" t="s">
        <v>134</v>
      </c>
      <c r="F241" s="1289"/>
      <c r="G241" s="1289"/>
      <c r="H241" s="1289"/>
      <c r="I241" s="1290"/>
    </row>
    <row r="242" spans="1:9" ht="12.75" customHeight="1">
      <c r="A242" s="35"/>
      <c r="B242" s="1289" t="s">
        <v>128</v>
      </c>
      <c r="C242" s="1290"/>
      <c r="D242" s="1207"/>
      <c r="E242" s="1289"/>
      <c r="F242" s="1289"/>
      <c r="G242" s="1289"/>
      <c r="H242" s="1289"/>
      <c r="I242" s="1290"/>
    </row>
    <row r="243" spans="1:9" ht="24" customHeight="1">
      <c r="A243" s="35"/>
      <c r="B243" s="1289" t="s">
        <v>135</v>
      </c>
      <c r="C243" s="1290"/>
      <c r="D243" s="1207"/>
      <c r="E243" s="1289"/>
      <c r="F243" s="1289"/>
      <c r="G243" s="1289"/>
      <c r="H243" s="1289"/>
      <c r="I243" s="1290"/>
    </row>
    <row r="244" spans="1:9">
      <c r="A244" s="35"/>
      <c r="B244" s="1289" t="s">
        <v>130</v>
      </c>
      <c r="C244" s="1290"/>
      <c r="D244" s="1207"/>
      <c r="E244" s="1289"/>
      <c r="F244" s="1289"/>
      <c r="G244" s="1289"/>
      <c r="H244" s="1289"/>
      <c r="I244" s="1290"/>
    </row>
    <row r="245" spans="1:9">
      <c r="A245" s="35"/>
      <c r="B245" s="1289" t="s">
        <v>131</v>
      </c>
      <c r="C245" s="1290"/>
      <c r="D245" s="1207"/>
      <c r="E245" s="1289"/>
      <c r="F245" s="1289"/>
      <c r="G245" s="1289"/>
      <c r="H245" s="1289"/>
      <c r="I245" s="1290"/>
    </row>
    <row r="246" spans="1:9" ht="12.75" customHeight="1">
      <c r="A246" s="35"/>
      <c r="B246" s="1289" t="s">
        <v>136</v>
      </c>
      <c r="C246" s="1290"/>
      <c r="D246" s="1207"/>
      <c r="E246" s="1289"/>
      <c r="F246" s="1289"/>
      <c r="G246" s="1289"/>
      <c r="H246" s="1289"/>
      <c r="I246" s="1290"/>
    </row>
    <row r="247" spans="1:9" ht="12.75" customHeight="1">
      <c r="A247" s="35"/>
      <c r="B247" s="1291" t="s">
        <v>133</v>
      </c>
      <c r="C247" s="1292"/>
      <c r="D247" s="1227"/>
      <c r="E247" s="1291"/>
      <c r="F247" s="1291"/>
      <c r="G247" s="1291"/>
      <c r="H247" s="1291"/>
      <c r="I247" s="1292"/>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295" t="s">
        <v>29</v>
      </c>
      <c r="C250" s="1296"/>
      <c r="D250" s="37"/>
      <c r="E250" s="1295" t="s">
        <v>92</v>
      </c>
      <c r="F250" s="1295"/>
      <c r="G250" s="1295"/>
      <c r="H250" s="1295"/>
      <c r="I250" s="1296"/>
    </row>
    <row r="251" spans="1:9" ht="12.75" customHeight="1">
      <c r="A251" s="35"/>
      <c r="B251" s="1293" t="s">
        <v>137</v>
      </c>
      <c r="C251" s="1294"/>
      <c r="E251" s="1293" t="s">
        <v>138</v>
      </c>
      <c r="F251" s="1293"/>
      <c r="G251" s="1293"/>
      <c r="H251" s="1293"/>
      <c r="I251" s="1294"/>
    </row>
    <row r="252" spans="1:9" ht="25.5" customHeight="1">
      <c r="A252" s="35"/>
      <c r="B252" s="1289" t="s">
        <v>139</v>
      </c>
      <c r="C252" s="1290"/>
      <c r="E252" s="1289" t="s">
        <v>125</v>
      </c>
      <c r="F252" s="1289"/>
      <c r="G252" s="1289"/>
      <c r="H252" s="1289"/>
      <c r="I252" s="1290"/>
    </row>
    <row r="253" spans="1:9" ht="25.5" customHeight="1">
      <c r="A253" s="35"/>
      <c r="B253" s="1289"/>
      <c r="C253" s="1290"/>
      <c r="E253" s="1289"/>
      <c r="F253" s="1289"/>
      <c r="G253" s="1289"/>
      <c r="H253" s="1289"/>
      <c r="I253" s="1290"/>
    </row>
    <row r="254" spans="1:9" ht="25.5" customHeight="1">
      <c r="A254" s="35"/>
      <c r="B254" s="1289"/>
      <c r="C254" s="1290"/>
      <c r="E254" s="1289"/>
      <c r="F254" s="1289"/>
      <c r="G254" s="1289"/>
      <c r="H254" s="1289"/>
      <c r="I254" s="1290"/>
    </row>
    <row r="255" spans="1:9" ht="25.5" customHeight="1">
      <c r="A255" s="35"/>
      <c r="B255" s="1289"/>
      <c r="C255" s="1290"/>
      <c r="E255" s="1289"/>
      <c r="F255" s="1289"/>
      <c r="G255" s="1289"/>
      <c r="H255" s="1289"/>
      <c r="I255" s="1290"/>
    </row>
    <row r="256" spans="1:9" ht="25.5" customHeight="1">
      <c r="A256" s="35"/>
      <c r="B256" s="1289"/>
      <c r="C256" s="1290"/>
      <c r="E256" s="1289"/>
      <c r="F256" s="1289"/>
      <c r="G256" s="1289"/>
      <c r="H256" s="1289"/>
      <c r="I256" s="1290"/>
    </row>
    <row r="257" spans="1:9">
      <c r="A257" s="35"/>
      <c r="B257" s="1289"/>
      <c r="C257" s="1290"/>
      <c r="E257" s="1289"/>
      <c r="F257" s="1289"/>
      <c r="G257" s="1289"/>
      <c r="H257" s="1289"/>
      <c r="I257" s="1290"/>
    </row>
    <row r="258" spans="1:9">
      <c r="A258" s="35"/>
      <c r="B258" s="1291"/>
      <c r="C258" s="1292"/>
      <c r="D258" s="37"/>
      <c r="E258" s="1291"/>
      <c r="F258" s="1291"/>
      <c r="G258" s="1291"/>
      <c r="H258" s="1291"/>
      <c r="I258" s="1292"/>
    </row>
    <row r="259" spans="1:9">
      <c r="A259" s="35"/>
      <c r="D259" s="37"/>
      <c r="E259" s="37"/>
    </row>
    <row r="260" spans="1:9">
      <c r="A260" s="35"/>
      <c r="D260" s="37"/>
      <c r="E260" s="37"/>
    </row>
    <row r="261" spans="1:9">
      <c r="A261" s="35"/>
      <c r="B261" s="1295" t="s">
        <v>54</v>
      </c>
      <c r="C261" s="1296"/>
      <c r="D261" s="37"/>
      <c r="E261" s="37"/>
    </row>
    <row r="262" spans="1:9">
      <c r="A262" s="35"/>
      <c r="B262" s="1289" t="s">
        <v>138</v>
      </c>
      <c r="C262" s="1290"/>
      <c r="D262" s="1328"/>
      <c r="E262" s="1328"/>
    </row>
    <row r="263" spans="1:9">
      <c r="A263" s="35"/>
      <c r="B263" s="1289" t="s">
        <v>125</v>
      </c>
      <c r="C263" s="1290"/>
      <c r="D263" s="1328"/>
      <c r="E263" s="1328"/>
    </row>
    <row r="264" spans="1:9">
      <c r="A264" s="35"/>
      <c r="B264" s="1289"/>
      <c r="C264" s="1290"/>
      <c r="D264" s="37"/>
      <c r="E264" s="37"/>
    </row>
    <row r="265" spans="1:9">
      <c r="A265" s="35"/>
      <c r="B265" s="1289"/>
      <c r="C265" s="1290"/>
      <c r="D265" s="37"/>
      <c r="E265" s="37"/>
    </row>
    <row r="266" spans="1:9">
      <c r="A266" s="35"/>
      <c r="B266" s="1289"/>
      <c r="C266" s="1290"/>
      <c r="D266" s="37"/>
      <c r="E266" s="37"/>
    </row>
    <row r="267" spans="1:9">
      <c r="A267" s="35"/>
      <c r="B267" s="1289"/>
      <c r="C267" s="1290"/>
      <c r="D267" s="37"/>
      <c r="E267" s="37"/>
    </row>
    <row r="268" spans="1:9">
      <c r="A268" s="35"/>
      <c r="B268" s="1289"/>
      <c r="C268" s="1290"/>
      <c r="D268" s="37"/>
      <c r="E268" s="37"/>
    </row>
    <row r="269" spans="1:9">
      <c r="A269" s="35"/>
      <c r="B269" s="1291"/>
      <c r="C269" s="1292"/>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09" t="s">
        <v>51</v>
      </c>
      <c r="C325" s="303"/>
      <c r="D325" s="303"/>
      <c r="E325" s="305">
        <v>2.1594507853983487</v>
      </c>
      <c r="F325" s="305">
        <v>2.108783385973247</v>
      </c>
      <c r="G325" s="305">
        <v>1.9571099436141921</v>
      </c>
      <c r="H325" s="305">
        <v>1.6739883971269975</v>
      </c>
      <c r="I325" s="305">
        <v>1.4057277322201749</v>
      </c>
      <c r="J325" t="b">
        <f t="shared" si="41"/>
        <v>1</v>
      </c>
      <c r="K325" s="12" t="s">
        <v>19</v>
      </c>
      <c r="L325" s="1209"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09" t="s">
        <v>78</v>
      </c>
      <c r="C326" s="303"/>
      <c r="D326" s="303"/>
      <c r="E326" s="305">
        <v>2.3320557909214585</v>
      </c>
      <c r="F326" s="305">
        <v>2.3253369118631113</v>
      </c>
      <c r="G326" s="305">
        <v>2.1691122806593768</v>
      </c>
      <c r="H326" s="305">
        <v>1.831433598356611</v>
      </c>
      <c r="I326" s="305">
        <v>1.6964022421334342</v>
      </c>
      <c r="J326" t="b">
        <f t="shared" si="41"/>
        <v>1</v>
      </c>
      <c r="K326" s="12" t="s">
        <v>19</v>
      </c>
      <c r="L326" s="1209"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09"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09"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09" t="s">
        <v>80</v>
      </c>
      <c r="C328" s="303"/>
      <c r="D328" s="303"/>
      <c r="E328" s="305">
        <v>1.3538563803454693</v>
      </c>
      <c r="F328" s="305">
        <v>1.399085447927888</v>
      </c>
      <c r="G328" s="305">
        <v>1.3245039630700681</v>
      </c>
      <c r="H328" s="305">
        <v>1.0767587664923539</v>
      </c>
      <c r="I328" s="305">
        <v>1.0135822369351568</v>
      </c>
      <c r="J328" t="b">
        <f t="shared" si="41"/>
        <v>1</v>
      </c>
      <c r="K328" s="12" t="s">
        <v>19</v>
      </c>
      <c r="L328" s="1209"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82</v>
      </c>
      <c r="C330" s="305">
        <v>1.338141135548405</v>
      </c>
      <c r="D330" s="305">
        <v>1.3118504623849501</v>
      </c>
      <c r="E330" s="305">
        <v>1.305225167423345</v>
      </c>
      <c r="F330" s="305">
        <v>1.2886796623765773</v>
      </c>
      <c r="G330" s="305">
        <v>1.2709115989265294</v>
      </c>
      <c r="H330" s="303"/>
      <c r="I330" s="303"/>
      <c r="J330" t="b">
        <f t="shared" si="41"/>
        <v>1</v>
      </c>
      <c r="K330" s="12" t="s">
        <v>25</v>
      </c>
      <c r="L330" s="300" t="s">
        <v>82</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4</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4</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198"/>
      <c r="D348" s="1198"/>
      <c r="E348" s="1198"/>
      <c r="F348" s="1198"/>
      <c r="G348" s="1198"/>
      <c r="J348" s="306"/>
      <c r="K348" s="94"/>
      <c r="L348" s="308"/>
      <c r="M348" s="94"/>
      <c r="N348" s="94"/>
    </row>
    <row r="349" spans="1:19">
      <c r="C349" s="1206"/>
      <c r="D349" s="1206"/>
      <c r="E349" s="1206"/>
      <c r="F349" s="1206"/>
      <c r="G349" s="1206"/>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09"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09"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09"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09"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82</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4</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24" priority="13">
      <formula>AND(#REF!="Actuals",#REF!="Forecast")</formula>
    </cfRule>
  </conditionalFormatting>
  <conditionalFormatting sqref="H61">
    <cfRule type="expression" dxfId="122" priority="18">
      <formula>AND(#REF!="Actuals",#REF!="Forecast")</formula>
    </cfRule>
  </conditionalFormatting>
  <conditionalFormatting sqref="H62:U62">
    <cfRule type="expression" dxfId="120" priority="6">
      <formula>AND(#REF!="Actuals",#REF!="Forecast")</formula>
    </cfRule>
  </conditionalFormatting>
  <conditionalFormatting sqref="O61">
    <cfRule type="expression" dxfId="11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0" customWidth="1"/>
    <col min="2" max="2" width="8.3828125" style="1107" customWidth="1"/>
    <col min="3" max="4" width="9.3828125" style="412" customWidth="1"/>
    <col min="5" max="5" width="9.3828125" style="1108" customWidth="1"/>
    <col min="6" max="6" width="9.3828125" style="412" customWidth="1"/>
    <col min="7" max="8" width="9.3828125" style="1109"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2" customFormat="1" ht="19.5">
      <c r="A1" s="1049" t="str">
        <f ca="1">MID(CELL("filename",A1),FIND("]",CELL("filename",A1))+1,256)</f>
        <v>I2 - Monthly Inflation</v>
      </c>
      <c r="B1" s="1050"/>
      <c r="C1" s="1050"/>
      <c r="D1" s="1050"/>
      <c r="E1" s="1050"/>
      <c r="F1" s="1050"/>
      <c r="G1" s="1050"/>
      <c r="H1" s="1050"/>
      <c r="I1" s="1051"/>
      <c r="J1" s="1094"/>
      <c r="K1" s="1094"/>
      <c r="L1" s="1094"/>
      <c r="M1" s="1094"/>
      <c r="N1" s="1094"/>
      <c r="O1" s="1094"/>
      <c r="P1" s="1094"/>
      <c r="Q1" s="1094"/>
    </row>
    <row r="2" spans="1:21" s="1052" customFormat="1" ht="19.5">
      <c r="A2" s="1049" t="str">
        <f>Licensee</f>
        <v>Cadent-WM</v>
      </c>
      <c r="B2" s="1050"/>
      <c r="C2" s="1050"/>
      <c r="D2" s="1050"/>
      <c r="E2" s="1050"/>
      <c r="F2" s="1050"/>
      <c r="G2" s="1050"/>
      <c r="H2" s="1050"/>
      <c r="I2" s="1051"/>
      <c r="J2" s="1094"/>
      <c r="K2" s="1094"/>
      <c r="L2" s="1094"/>
      <c r="M2" s="1094"/>
      <c r="N2" s="1094"/>
      <c r="O2" s="1094"/>
      <c r="P2" s="1094"/>
      <c r="Q2" s="1094"/>
    </row>
    <row r="3" spans="1:21" s="1052" customFormat="1" ht="19.5">
      <c r="A3" s="1053" t="str">
        <f>Sector</f>
        <v>GD2</v>
      </c>
      <c r="B3" s="1054"/>
      <c r="C3" s="1054"/>
      <c r="D3" s="1054"/>
      <c r="E3" s="1054"/>
      <c r="F3" s="1054"/>
      <c r="G3" s="1054"/>
      <c r="H3" s="1054"/>
      <c r="I3" s="1055"/>
      <c r="J3" s="1094"/>
      <c r="K3" s="1094"/>
      <c r="L3" s="1094"/>
      <c r="M3" s="1094"/>
      <c r="N3" s="1094"/>
      <c r="O3" s="1094"/>
      <c r="P3" s="1094"/>
      <c r="Q3" s="1094"/>
    </row>
    <row r="4" spans="1:21" s="1057" customFormat="1" ht="14.5">
      <c r="A4" s="391" t="s">
        <v>1144</v>
      </c>
      <c r="B4" s="391"/>
      <c r="C4" s="392"/>
      <c r="D4" s="393"/>
      <c r="E4" s="393"/>
      <c r="F4" s="393"/>
      <c r="G4" s="393"/>
      <c r="H4" s="393"/>
      <c r="I4" s="394"/>
      <c r="J4" s="1056"/>
      <c r="K4" s="1056"/>
      <c r="L4" s="1056"/>
      <c r="M4" s="1056"/>
      <c r="N4" s="1056"/>
      <c r="O4" s="1056"/>
      <c r="P4" s="1056"/>
      <c r="R4" s="1052"/>
      <c r="S4" s="1052"/>
    </row>
    <row r="5" spans="1:21" ht="32.25" customHeight="1">
      <c r="A5" s="1095" t="s">
        <v>1145</v>
      </c>
      <c r="B5" s="1095" t="s">
        <v>1146</v>
      </c>
      <c r="C5" s="1096" t="s">
        <v>1147</v>
      </c>
      <c r="D5" s="1096" t="s">
        <v>1148</v>
      </c>
      <c r="E5" s="1097" t="s">
        <v>1149</v>
      </c>
      <c r="F5" s="1098" t="s">
        <v>1150</v>
      </c>
      <c r="G5" s="1099" t="s">
        <v>202</v>
      </c>
      <c r="H5" s="1099" t="s">
        <v>183</v>
      </c>
      <c r="I5" s="1100"/>
      <c r="J5" s="1100"/>
      <c r="K5" s="1100"/>
      <c r="L5" s="1100"/>
      <c r="M5" s="1100"/>
      <c r="N5" s="1100"/>
      <c r="O5" s="1100"/>
      <c r="P5" s="1100"/>
      <c r="Q5" s="1100"/>
      <c r="R5" s="1100"/>
      <c r="S5" s="1100"/>
      <c r="U5" s="114"/>
    </row>
    <row r="6" spans="1:21">
      <c r="A6" s="1111">
        <f>EOMONTH(DATE(1999, 4, 1), 0)</f>
        <v>36280</v>
      </c>
      <c r="B6" s="1112">
        <f t="shared" ref="B6:B69" si="0">IF(MONTH(A6)&gt;=4,YEAR(A6)+1,YEAR(A6))</f>
        <v>2000</v>
      </c>
      <c r="C6" s="1279">
        <v>72.599999999999994</v>
      </c>
      <c r="D6" s="1279">
        <v>165.2</v>
      </c>
      <c r="E6" s="1113" t="str">
        <f>IF($A6&lt;DATE(2018,7,1),"-",INDEX('I1 - Universal Data'!$E$16:$V$16, MATCH(YEAR(EOMONTH($A6,6)), 'I1 - Universal Data'!$E$14:$V$14, 0)))</f>
        <v>-</v>
      </c>
      <c r="F6" s="1113" t="str">
        <f>IF($A6&lt;DATE(2018,7,1),"-",INDEX('I1 - Universal Data'!$E$15:$V$15, MATCH(YEAR(EOMONTH($A6,6)), 'I1 - Universal Data'!$E$14:$V$14, 0)))</f>
        <v>-</v>
      </c>
      <c r="G6" s="1114">
        <f t="shared" ref="G6:H21" si="1">IF(ISBLANK(C6),G5*((1+E6)^(1/12)),C6)</f>
        <v>72.599999999999994</v>
      </c>
      <c r="H6" s="1114">
        <f t="shared" si="1"/>
        <v>165.2</v>
      </c>
      <c r="U6" s="114"/>
    </row>
    <row r="7" spans="1:21">
      <c r="A7" s="1111">
        <f t="shared" ref="A7:A70" si="2">IF(MONTH(A6) = 12, EOMONTH(DATE(YEAR(A6) + 1, 1, 1), 0), EOMONTH(DATE(YEAR(A6), MONTH(A6) + 1, 1), 0))</f>
        <v>36311</v>
      </c>
      <c r="B7" s="1112">
        <f t="shared" si="0"/>
        <v>2000</v>
      </c>
      <c r="C7" s="1279">
        <v>72.8</v>
      </c>
      <c r="D7" s="1279">
        <v>165.6</v>
      </c>
      <c r="E7" s="1113" t="str">
        <f>IF($A7&lt;DATE(2018,7,1),"-",INDEX('I1 - Universal Data'!$E$16:$V$16, MATCH(YEAR(EOMONTH($A7,6)), 'I1 - Universal Data'!$E$14:$V$14, 0)))</f>
        <v>-</v>
      </c>
      <c r="F7" s="1113" t="str">
        <f>IF($A7&lt;DATE(2018,7,1),"-",INDEX('I1 - Universal Data'!$E$15:$V$15, MATCH(YEAR(EOMONTH($A7,6)), 'I1 - Universal Data'!$E$14:$V$14, 0)))</f>
        <v>-</v>
      </c>
      <c r="G7" s="1114">
        <f t="shared" si="1"/>
        <v>72.8</v>
      </c>
      <c r="H7" s="1114">
        <f t="shared" si="1"/>
        <v>165.6</v>
      </c>
      <c r="U7" s="114"/>
    </row>
    <row r="8" spans="1:21">
      <c r="A8" s="1111">
        <f t="shared" si="2"/>
        <v>36341</v>
      </c>
      <c r="B8" s="1112">
        <f t="shared" si="0"/>
        <v>2000</v>
      </c>
      <c r="C8" s="1279">
        <v>72.7</v>
      </c>
      <c r="D8" s="1279">
        <v>165.6</v>
      </c>
      <c r="E8" s="1113" t="str">
        <f>IF($A8&lt;DATE(2018,7,1),"-",INDEX('I1 - Universal Data'!$E$16:$V$16, MATCH(YEAR(EOMONTH($A8,6)), 'I1 - Universal Data'!$E$14:$V$14, 0)))</f>
        <v>-</v>
      </c>
      <c r="F8" s="1113" t="str">
        <f>IF($A8&lt;DATE(2018,7,1),"-",INDEX('I1 - Universal Data'!$E$15:$V$15, MATCH(YEAR(EOMONTH($A8,6)), 'I1 - Universal Data'!$E$14:$V$14, 0)))</f>
        <v>-</v>
      </c>
      <c r="G8" s="1114">
        <f t="shared" si="1"/>
        <v>72.7</v>
      </c>
      <c r="H8" s="1114">
        <f t="shared" si="1"/>
        <v>165.6</v>
      </c>
      <c r="U8" s="114"/>
    </row>
    <row r="9" spans="1:21">
      <c r="A9" s="1111">
        <f t="shared" si="2"/>
        <v>36372</v>
      </c>
      <c r="B9" s="1112">
        <f t="shared" si="0"/>
        <v>2000</v>
      </c>
      <c r="C9" s="1279">
        <v>72.400000000000006</v>
      </c>
      <c r="D9" s="1279">
        <v>165.1</v>
      </c>
      <c r="E9" s="1113" t="str">
        <f>IF($A9&lt;DATE(2018,7,1),"-",INDEX('I1 - Universal Data'!$E$16:$V$16, MATCH(YEAR(EOMONTH($A9,6)), 'I1 - Universal Data'!$E$14:$V$14, 0)))</f>
        <v>-</v>
      </c>
      <c r="F9" s="1113" t="str">
        <f>IF($A9&lt;DATE(2018,7,1),"-",INDEX('I1 - Universal Data'!$E$15:$V$15, MATCH(YEAR(EOMONTH($A9,6)), 'I1 - Universal Data'!$E$14:$V$14, 0)))</f>
        <v>-</v>
      </c>
      <c r="G9" s="1114">
        <f t="shared" si="1"/>
        <v>72.400000000000006</v>
      </c>
      <c r="H9" s="1114">
        <f t="shared" si="1"/>
        <v>165.1</v>
      </c>
      <c r="U9" s="114"/>
    </row>
    <row r="10" spans="1:21">
      <c r="A10" s="1111">
        <f t="shared" si="2"/>
        <v>36403</v>
      </c>
      <c r="B10" s="1112">
        <f t="shared" si="0"/>
        <v>2000</v>
      </c>
      <c r="C10" s="1279">
        <v>72.599999999999994</v>
      </c>
      <c r="D10" s="1279">
        <v>165.5</v>
      </c>
      <c r="E10" s="1113" t="str">
        <f>IF($A10&lt;DATE(2018,7,1),"-",INDEX('I1 - Universal Data'!$E$16:$V$16, MATCH(YEAR(EOMONTH($A10,6)), 'I1 - Universal Data'!$E$14:$V$14, 0)))</f>
        <v>-</v>
      </c>
      <c r="F10" s="1113" t="str">
        <f>IF($A10&lt;DATE(2018,7,1),"-",INDEX('I1 - Universal Data'!$E$15:$V$15, MATCH(YEAR(EOMONTH($A10,6)), 'I1 - Universal Data'!$E$14:$V$14, 0)))</f>
        <v>-</v>
      </c>
      <c r="G10" s="1114">
        <f t="shared" si="1"/>
        <v>72.599999999999994</v>
      </c>
      <c r="H10" s="1114">
        <f t="shared" si="1"/>
        <v>165.5</v>
      </c>
      <c r="U10" s="114"/>
    </row>
    <row r="11" spans="1:21">
      <c r="A11" s="1111">
        <f t="shared" si="2"/>
        <v>36433</v>
      </c>
      <c r="B11" s="1112">
        <f t="shared" si="0"/>
        <v>2000</v>
      </c>
      <c r="C11" s="1279">
        <v>72.8</v>
      </c>
      <c r="D11" s="1279">
        <v>166.2</v>
      </c>
      <c r="E11" s="1113" t="str">
        <f>IF($A11&lt;DATE(2018,7,1),"-",INDEX('I1 - Universal Data'!$E$16:$V$16, MATCH(YEAR(EOMONTH($A11,6)), 'I1 - Universal Data'!$E$14:$V$14, 0)))</f>
        <v>-</v>
      </c>
      <c r="F11" s="1113" t="str">
        <f>IF($A11&lt;DATE(2018,7,1),"-",INDEX('I1 - Universal Data'!$E$15:$V$15, MATCH(YEAR(EOMONTH($A11,6)), 'I1 - Universal Data'!$E$14:$V$14, 0)))</f>
        <v>-</v>
      </c>
      <c r="G11" s="1114">
        <f t="shared" si="1"/>
        <v>72.8</v>
      </c>
      <c r="H11" s="1114">
        <f t="shared" si="1"/>
        <v>166.2</v>
      </c>
      <c r="U11" s="114"/>
    </row>
    <row r="12" spans="1:21">
      <c r="A12" s="1111">
        <f t="shared" si="2"/>
        <v>36464</v>
      </c>
      <c r="B12" s="1112">
        <f t="shared" si="0"/>
        <v>2000</v>
      </c>
      <c r="C12" s="1279">
        <v>72.8</v>
      </c>
      <c r="D12" s="1279">
        <v>166.5</v>
      </c>
      <c r="E12" s="1113" t="str">
        <f>IF($A12&lt;DATE(2018,7,1),"-",INDEX('I1 - Universal Data'!$E$16:$V$16, MATCH(YEAR(EOMONTH($A12,6)), 'I1 - Universal Data'!$E$14:$V$14, 0)))</f>
        <v>-</v>
      </c>
      <c r="F12" s="1113" t="str">
        <f>IF($A12&lt;DATE(2018,7,1),"-",INDEX('I1 - Universal Data'!$E$15:$V$15, MATCH(YEAR(EOMONTH($A12,6)), 'I1 - Universal Data'!$E$14:$V$14, 0)))</f>
        <v>-</v>
      </c>
      <c r="G12" s="1114">
        <f t="shared" si="1"/>
        <v>72.8</v>
      </c>
      <c r="H12" s="1114">
        <f t="shared" si="1"/>
        <v>166.5</v>
      </c>
      <c r="U12" s="114"/>
    </row>
    <row r="13" spans="1:21">
      <c r="A13" s="1111">
        <f t="shared" si="2"/>
        <v>36494</v>
      </c>
      <c r="B13" s="1112">
        <f t="shared" si="0"/>
        <v>2000</v>
      </c>
      <c r="C13" s="1279">
        <v>72.900000000000006</v>
      </c>
      <c r="D13" s="1279">
        <v>166.7</v>
      </c>
      <c r="E13" s="1113" t="str">
        <f>IF($A13&lt;DATE(2018,7,1),"-",INDEX('I1 - Universal Data'!$E$16:$V$16, MATCH(YEAR(EOMONTH($A13,6)), 'I1 - Universal Data'!$E$14:$V$14, 0)))</f>
        <v>-</v>
      </c>
      <c r="F13" s="1113" t="str">
        <f>IF($A13&lt;DATE(2018,7,1),"-",INDEX('I1 - Universal Data'!$E$15:$V$15, MATCH(YEAR(EOMONTH($A13,6)), 'I1 - Universal Data'!$E$14:$V$14, 0)))</f>
        <v>-</v>
      </c>
      <c r="G13" s="1114">
        <f t="shared" si="1"/>
        <v>72.900000000000006</v>
      </c>
      <c r="H13" s="1114">
        <f t="shared" si="1"/>
        <v>166.7</v>
      </c>
      <c r="U13" s="114"/>
    </row>
    <row r="14" spans="1:21">
      <c r="A14" s="1111">
        <f t="shared" si="2"/>
        <v>36525</v>
      </c>
      <c r="B14" s="1112">
        <f t="shared" si="0"/>
        <v>2000</v>
      </c>
      <c r="C14" s="1279">
        <v>73.099999999999994</v>
      </c>
      <c r="D14" s="1279">
        <v>167.3</v>
      </c>
      <c r="E14" s="1113" t="str">
        <f>IF($A14&lt;DATE(2018,7,1),"-",INDEX('I1 - Universal Data'!$E$16:$V$16, MATCH(YEAR(EOMONTH($A14,6)), 'I1 - Universal Data'!$E$14:$V$14, 0)))</f>
        <v>-</v>
      </c>
      <c r="F14" s="1113" t="str">
        <f>IF($A14&lt;DATE(2018,7,1),"-",INDEX('I1 - Universal Data'!$E$15:$V$15, MATCH(YEAR(EOMONTH($A14,6)), 'I1 - Universal Data'!$E$14:$V$14, 0)))</f>
        <v>-</v>
      </c>
      <c r="G14" s="1114">
        <f t="shared" si="1"/>
        <v>73.099999999999994</v>
      </c>
      <c r="H14" s="1114">
        <f t="shared" si="1"/>
        <v>167.3</v>
      </c>
      <c r="U14" s="114"/>
    </row>
    <row r="15" spans="1:21">
      <c r="A15" s="1111">
        <f t="shared" si="2"/>
        <v>36556</v>
      </c>
      <c r="B15" s="1112">
        <f t="shared" si="0"/>
        <v>2000</v>
      </c>
      <c r="C15" s="1279">
        <v>72.599999999999994</v>
      </c>
      <c r="D15" s="1279">
        <v>166.6</v>
      </c>
      <c r="E15" s="1113" t="str">
        <f>IF($A15&lt;DATE(2018,7,1),"-",INDEX('I1 - Universal Data'!$E$16:$V$16, MATCH(YEAR(EOMONTH($A15,6)), 'I1 - Universal Data'!$E$14:$V$14, 0)))</f>
        <v>-</v>
      </c>
      <c r="F15" s="1113" t="str">
        <f>IF($A15&lt;DATE(2018,7,1),"-",INDEX('I1 - Universal Data'!$E$15:$V$15, MATCH(YEAR(EOMONTH($A15,6)), 'I1 - Universal Data'!$E$14:$V$14, 0)))</f>
        <v>-</v>
      </c>
      <c r="G15" s="1114">
        <f t="shared" si="1"/>
        <v>72.599999999999994</v>
      </c>
      <c r="H15" s="1114">
        <f t="shared" si="1"/>
        <v>166.6</v>
      </c>
      <c r="U15" s="114"/>
    </row>
    <row r="16" spans="1:21">
      <c r="A16" s="1111">
        <f t="shared" si="2"/>
        <v>36585</v>
      </c>
      <c r="B16" s="1112">
        <f t="shared" si="0"/>
        <v>2000</v>
      </c>
      <c r="C16" s="1279">
        <v>72.8</v>
      </c>
      <c r="D16" s="1279">
        <v>167.5</v>
      </c>
      <c r="E16" s="1113" t="str">
        <f>IF($A16&lt;DATE(2018,7,1),"-",INDEX('I1 - Universal Data'!$E$16:$V$16, MATCH(YEAR(EOMONTH($A16,6)), 'I1 - Universal Data'!$E$14:$V$14, 0)))</f>
        <v>-</v>
      </c>
      <c r="F16" s="1113" t="str">
        <f>IF($A16&lt;DATE(2018,7,1),"-",INDEX('I1 - Universal Data'!$E$15:$V$15, MATCH(YEAR(EOMONTH($A16,6)), 'I1 - Universal Data'!$E$14:$V$14, 0)))</f>
        <v>-</v>
      </c>
      <c r="G16" s="1114">
        <f t="shared" si="1"/>
        <v>72.8</v>
      </c>
      <c r="H16" s="1114">
        <f t="shared" si="1"/>
        <v>167.5</v>
      </c>
      <c r="U16" s="114"/>
    </row>
    <row r="17" spans="1:21">
      <c r="A17" s="1111">
        <f t="shared" si="2"/>
        <v>36616</v>
      </c>
      <c r="B17" s="1112">
        <f t="shared" si="0"/>
        <v>2000</v>
      </c>
      <c r="C17" s="1279">
        <v>73</v>
      </c>
      <c r="D17" s="1279">
        <v>168.4</v>
      </c>
      <c r="E17" s="1113" t="str">
        <f>IF($A17&lt;DATE(2018,7,1),"-",INDEX('I1 - Universal Data'!$E$16:$V$16, MATCH(YEAR(EOMONTH($A17,6)), 'I1 - Universal Data'!$E$14:$V$14, 0)))</f>
        <v>-</v>
      </c>
      <c r="F17" s="1113" t="str">
        <f>IF($A17&lt;DATE(2018,7,1),"-",INDEX('I1 - Universal Data'!$E$15:$V$15, MATCH(YEAR(EOMONTH($A17,6)), 'I1 - Universal Data'!$E$14:$V$14, 0)))</f>
        <v>-</v>
      </c>
      <c r="G17" s="1114">
        <f t="shared" si="1"/>
        <v>73</v>
      </c>
      <c r="H17" s="1114">
        <f t="shared" si="1"/>
        <v>168.4</v>
      </c>
      <c r="U17" s="114"/>
    </row>
    <row r="18" spans="1:21">
      <c r="A18" s="1111">
        <f t="shared" si="2"/>
        <v>36646</v>
      </c>
      <c r="B18" s="1112">
        <f t="shared" si="0"/>
        <v>2001</v>
      </c>
      <c r="C18" s="1279">
        <v>73.3</v>
      </c>
      <c r="D18" s="1279">
        <v>170.1</v>
      </c>
      <c r="E18" s="1113" t="str">
        <f>IF($A18&lt;DATE(2018,7,1),"-",INDEX('I1 - Universal Data'!$E$16:$V$16, MATCH(YEAR(EOMONTH($A18,6)), 'I1 - Universal Data'!$E$14:$V$14, 0)))</f>
        <v>-</v>
      </c>
      <c r="F18" s="1113" t="str">
        <f>IF($A18&lt;DATE(2018,7,1),"-",INDEX('I1 - Universal Data'!$E$15:$V$15, MATCH(YEAR(EOMONTH($A18,6)), 'I1 - Universal Data'!$E$14:$V$14, 0)))</f>
        <v>-</v>
      </c>
      <c r="G18" s="1114">
        <f t="shared" si="1"/>
        <v>73.3</v>
      </c>
      <c r="H18" s="1114">
        <f t="shared" si="1"/>
        <v>170.1</v>
      </c>
      <c r="U18" s="114"/>
    </row>
    <row r="19" spans="1:21">
      <c r="A19" s="1111">
        <f t="shared" si="2"/>
        <v>36677</v>
      </c>
      <c r="B19" s="1112">
        <f t="shared" si="0"/>
        <v>2001</v>
      </c>
      <c r="C19" s="1279">
        <v>73.5</v>
      </c>
      <c r="D19" s="1279">
        <v>170.7</v>
      </c>
      <c r="E19" s="1113" t="str">
        <f>IF($A19&lt;DATE(2018,7,1),"-",INDEX('I1 - Universal Data'!$E$16:$V$16, MATCH(YEAR(EOMONTH($A19,6)), 'I1 - Universal Data'!$E$14:$V$14, 0)))</f>
        <v>-</v>
      </c>
      <c r="F19" s="1113" t="str">
        <f>IF($A19&lt;DATE(2018,7,1),"-",INDEX('I1 - Universal Data'!$E$15:$V$15, MATCH(YEAR(EOMONTH($A19,6)), 'I1 - Universal Data'!$E$14:$V$14, 0)))</f>
        <v>-</v>
      </c>
      <c r="G19" s="1114">
        <f t="shared" si="1"/>
        <v>73.5</v>
      </c>
      <c r="H19" s="1114">
        <f t="shared" si="1"/>
        <v>170.7</v>
      </c>
      <c r="U19" s="114"/>
    </row>
    <row r="20" spans="1:21">
      <c r="A20" s="1111">
        <f t="shared" si="2"/>
        <v>36707</v>
      </c>
      <c r="B20" s="1112">
        <f t="shared" si="0"/>
        <v>2001</v>
      </c>
      <c r="C20" s="1279">
        <v>73.599999999999994</v>
      </c>
      <c r="D20" s="1279">
        <v>171.1</v>
      </c>
      <c r="E20" s="1113" t="str">
        <f>IF($A20&lt;DATE(2018,7,1),"-",INDEX('I1 - Universal Data'!$E$16:$V$16, MATCH(YEAR(EOMONTH($A20,6)), 'I1 - Universal Data'!$E$14:$V$14, 0)))</f>
        <v>-</v>
      </c>
      <c r="F20" s="1113" t="str">
        <f>IF($A20&lt;DATE(2018,7,1),"-",INDEX('I1 - Universal Data'!$E$15:$V$15, MATCH(YEAR(EOMONTH($A20,6)), 'I1 - Universal Data'!$E$14:$V$14, 0)))</f>
        <v>-</v>
      </c>
      <c r="G20" s="1114">
        <f t="shared" si="1"/>
        <v>73.599999999999994</v>
      </c>
      <c r="H20" s="1114">
        <f t="shared" si="1"/>
        <v>171.1</v>
      </c>
      <c r="U20" s="114"/>
    </row>
    <row r="21" spans="1:21">
      <c r="A21" s="1111">
        <f t="shared" si="2"/>
        <v>36738</v>
      </c>
      <c r="B21" s="1112">
        <f t="shared" si="0"/>
        <v>2001</v>
      </c>
      <c r="C21" s="1279">
        <v>73.3</v>
      </c>
      <c r="D21" s="1279">
        <v>170.5</v>
      </c>
      <c r="E21" s="1113" t="str">
        <f>IF($A21&lt;DATE(2018,7,1),"-",INDEX('I1 - Universal Data'!$E$16:$V$16, MATCH(YEAR(EOMONTH($A21,6)), 'I1 - Universal Data'!$E$14:$V$14, 0)))</f>
        <v>-</v>
      </c>
      <c r="F21" s="1113" t="str">
        <f>IF($A21&lt;DATE(2018,7,1),"-",INDEX('I1 - Universal Data'!$E$15:$V$15, MATCH(YEAR(EOMONTH($A21,6)), 'I1 - Universal Data'!$E$14:$V$14, 0)))</f>
        <v>-</v>
      </c>
      <c r="G21" s="1114">
        <f t="shared" si="1"/>
        <v>73.3</v>
      </c>
      <c r="H21" s="1114">
        <f t="shared" si="1"/>
        <v>170.5</v>
      </c>
      <c r="U21" s="114"/>
    </row>
    <row r="22" spans="1:21">
      <c r="A22" s="1111">
        <f t="shared" si="2"/>
        <v>36769</v>
      </c>
      <c r="B22" s="1112">
        <f t="shared" si="0"/>
        <v>2001</v>
      </c>
      <c r="C22" s="1279">
        <v>73.3</v>
      </c>
      <c r="D22" s="1279">
        <v>170.5</v>
      </c>
      <c r="E22" s="1113" t="str">
        <f>IF($A22&lt;DATE(2018,7,1),"-",INDEX('I1 - Universal Data'!$E$16:$V$16, MATCH(YEAR(EOMONTH($A22,6)), 'I1 - Universal Data'!$E$14:$V$14, 0)))</f>
        <v>-</v>
      </c>
      <c r="F22" s="1113" t="str">
        <f>IF($A22&lt;DATE(2018,7,1),"-",INDEX('I1 - Universal Data'!$E$15:$V$15, MATCH(YEAR(EOMONTH($A22,6)), 'I1 - Universal Data'!$E$14:$V$14, 0)))</f>
        <v>-</v>
      </c>
      <c r="G22" s="1114">
        <f t="shared" ref="G22:H37" si="3">IF(ISBLANK(C22),G21*((1+E22)^(1/12)),C22)</f>
        <v>73.3</v>
      </c>
      <c r="H22" s="1114">
        <f t="shared" si="3"/>
        <v>170.5</v>
      </c>
      <c r="U22" s="114"/>
    </row>
    <row r="23" spans="1:21">
      <c r="A23" s="1111">
        <f t="shared" si="2"/>
        <v>36799</v>
      </c>
      <c r="B23" s="1112">
        <f t="shared" si="0"/>
        <v>2001</v>
      </c>
      <c r="C23" s="1279">
        <v>73.8</v>
      </c>
      <c r="D23" s="1279">
        <v>171.7</v>
      </c>
      <c r="E23" s="1113" t="str">
        <f>IF($A23&lt;DATE(2018,7,1),"-",INDEX('I1 - Universal Data'!$E$16:$V$16, MATCH(YEAR(EOMONTH($A23,6)), 'I1 - Universal Data'!$E$14:$V$14, 0)))</f>
        <v>-</v>
      </c>
      <c r="F23" s="1113" t="str">
        <f>IF($A23&lt;DATE(2018,7,1),"-",INDEX('I1 - Universal Data'!$E$15:$V$15, MATCH(YEAR(EOMONTH($A23,6)), 'I1 - Universal Data'!$E$14:$V$14, 0)))</f>
        <v>-</v>
      </c>
      <c r="G23" s="1114">
        <f t="shared" si="3"/>
        <v>73.8</v>
      </c>
      <c r="H23" s="1114">
        <f t="shared" si="3"/>
        <v>171.7</v>
      </c>
      <c r="U23" s="114"/>
    </row>
    <row r="24" spans="1:21">
      <c r="A24" s="1111">
        <f t="shared" si="2"/>
        <v>36830</v>
      </c>
      <c r="B24" s="1112">
        <f t="shared" si="0"/>
        <v>2001</v>
      </c>
      <c r="C24" s="1279">
        <v>73.8</v>
      </c>
      <c r="D24" s="1279">
        <v>171.6</v>
      </c>
      <c r="E24" s="1113" t="str">
        <f>IF($A24&lt;DATE(2018,7,1),"-",INDEX('I1 - Universal Data'!$E$16:$V$16, MATCH(YEAR(EOMONTH($A24,6)), 'I1 - Universal Data'!$E$14:$V$14, 0)))</f>
        <v>-</v>
      </c>
      <c r="F24" s="1113" t="str">
        <f>IF($A24&lt;DATE(2018,7,1),"-",INDEX('I1 - Universal Data'!$E$15:$V$15, MATCH(YEAR(EOMONTH($A24,6)), 'I1 - Universal Data'!$E$14:$V$14, 0)))</f>
        <v>-</v>
      </c>
      <c r="G24" s="1114">
        <f t="shared" si="3"/>
        <v>73.8</v>
      </c>
      <c r="H24" s="1114">
        <f t="shared" si="3"/>
        <v>171.6</v>
      </c>
      <c r="U24" s="114"/>
    </row>
    <row r="25" spans="1:21">
      <c r="A25" s="1111">
        <f t="shared" si="2"/>
        <v>36860</v>
      </c>
      <c r="B25" s="1112">
        <f t="shared" si="0"/>
        <v>2001</v>
      </c>
      <c r="C25" s="1279">
        <v>74</v>
      </c>
      <c r="D25" s="1279">
        <v>172.1</v>
      </c>
      <c r="E25" s="1113" t="str">
        <f>IF($A25&lt;DATE(2018,7,1),"-",INDEX('I1 - Universal Data'!$E$16:$V$16, MATCH(YEAR(EOMONTH($A25,6)), 'I1 - Universal Data'!$E$14:$V$14, 0)))</f>
        <v>-</v>
      </c>
      <c r="F25" s="1113" t="str">
        <f>IF($A25&lt;DATE(2018,7,1),"-",INDEX('I1 - Universal Data'!$E$15:$V$15, MATCH(YEAR(EOMONTH($A25,6)), 'I1 - Universal Data'!$E$14:$V$14, 0)))</f>
        <v>-</v>
      </c>
      <c r="G25" s="1114">
        <f t="shared" si="3"/>
        <v>74</v>
      </c>
      <c r="H25" s="1114">
        <f t="shared" si="3"/>
        <v>172.1</v>
      </c>
      <c r="U25" s="114"/>
    </row>
    <row r="26" spans="1:21">
      <c r="A26" s="1111">
        <f t="shared" si="2"/>
        <v>36891</v>
      </c>
      <c r="B26" s="1112">
        <f t="shared" si="0"/>
        <v>2001</v>
      </c>
      <c r="C26" s="1279">
        <v>74</v>
      </c>
      <c r="D26" s="1279">
        <v>172.2</v>
      </c>
      <c r="E26" s="1113" t="str">
        <f>IF($A26&lt;DATE(2018,7,1),"-",INDEX('I1 - Universal Data'!$E$16:$V$16, MATCH(YEAR(EOMONTH($A26,6)), 'I1 - Universal Data'!$E$14:$V$14, 0)))</f>
        <v>-</v>
      </c>
      <c r="F26" s="1113" t="str">
        <f>IF($A26&lt;DATE(2018,7,1),"-",INDEX('I1 - Universal Data'!$E$15:$V$15, MATCH(YEAR(EOMONTH($A26,6)), 'I1 - Universal Data'!$E$14:$V$14, 0)))</f>
        <v>-</v>
      </c>
      <c r="G26" s="1114">
        <f t="shared" si="3"/>
        <v>74</v>
      </c>
      <c r="H26" s="1114">
        <f t="shared" si="3"/>
        <v>172.2</v>
      </c>
      <c r="U26" s="114"/>
    </row>
    <row r="27" spans="1:21">
      <c r="A27" s="1111">
        <f t="shared" si="2"/>
        <v>36922</v>
      </c>
      <c r="B27" s="1112">
        <f t="shared" si="0"/>
        <v>2001</v>
      </c>
      <c r="C27" s="1279">
        <v>73.5</v>
      </c>
      <c r="D27" s="1279">
        <v>171.1</v>
      </c>
      <c r="E27" s="1113" t="str">
        <f>IF($A27&lt;DATE(2018,7,1),"-",INDEX('I1 - Universal Data'!$E$16:$V$16, MATCH(YEAR(EOMONTH($A27,6)), 'I1 - Universal Data'!$E$14:$V$14, 0)))</f>
        <v>-</v>
      </c>
      <c r="F27" s="1113" t="str">
        <f>IF($A27&lt;DATE(2018,7,1),"-",INDEX('I1 - Universal Data'!$E$15:$V$15, MATCH(YEAR(EOMONTH($A27,6)), 'I1 - Universal Data'!$E$14:$V$14, 0)))</f>
        <v>-</v>
      </c>
      <c r="G27" s="1114">
        <f t="shared" si="3"/>
        <v>73.5</v>
      </c>
      <c r="H27" s="1114">
        <f t="shared" si="3"/>
        <v>171.1</v>
      </c>
      <c r="U27" s="1102"/>
    </row>
    <row r="28" spans="1:21">
      <c r="A28" s="1111">
        <f t="shared" si="2"/>
        <v>36950</v>
      </c>
      <c r="B28" s="1112">
        <f t="shared" si="0"/>
        <v>2001</v>
      </c>
      <c r="C28" s="1279">
        <v>73.7</v>
      </c>
      <c r="D28" s="1279">
        <v>172</v>
      </c>
      <c r="E28" s="1113" t="str">
        <f>IF($A28&lt;DATE(2018,7,1),"-",INDEX('I1 - Universal Data'!$E$16:$V$16, MATCH(YEAR(EOMONTH($A28,6)), 'I1 - Universal Data'!$E$14:$V$14, 0)))</f>
        <v>-</v>
      </c>
      <c r="F28" s="1113" t="str">
        <f>IF($A28&lt;DATE(2018,7,1),"-",INDEX('I1 - Universal Data'!$E$15:$V$15, MATCH(YEAR(EOMONTH($A28,6)), 'I1 - Universal Data'!$E$14:$V$14, 0)))</f>
        <v>-</v>
      </c>
      <c r="G28" s="1114">
        <f t="shared" si="3"/>
        <v>73.7</v>
      </c>
      <c r="H28" s="1114">
        <f t="shared" si="3"/>
        <v>172</v>
      </c>
      <c r="U28" s="1102"/>
    </row>
    <row r="29" spans="1:21">
      <c r="A29" s="1111">
        <f t="shared" si="2"/>
        <v>36981</v>
      </c>
      <c r="B29" s="1112">
        <f t="shared" si="0"/>
        <v>2001</v>
      </c>
      <c r="C29" s="1279">
        <v>73.900000000000006</v>
      </c>
      <c r="D29" s="1279">
        <v>172.2</v>
      </c>
      <c r="E29" s="1113" t="str">
        <f>IF($A29&lt;DATE(2018,7,1),"-",INDEX('I1 - Universal Data'!$E$16:$V$16, MATCH(YEAR(EOMONTH($A29,6)), 'I1 - Universal Data'!$E$14:$V$14, 0)))</f>
        <v>-</v>
      </c>
      <c r="F29" s="1113" t="str">
        <f>IF($A29&lt;DATE(2018,7,1),"-",INDEX('I1 - Universal Data'!$E$15:$V$15, MATCH(YEAR(EOMONTH($A29,6)), 'I1 - Universal Data'!$E$14:$V$14, 0)))</f>
        <v>-</v>
      </c>
      <c r="G29" s="1114">
        <f t="shared" si="3"/>
        <v>73.900000000000006</v>
      </c>
      <c r="H29" s="1114">
        <f t="shared" si="3"/>
        <v>172.2</v>
      </c>
      <c r="U29" s="1102"/>
    </row>
    <row r="30" spans="1:21">
      <c r="A30" s="1111">
        <f t="shared" si="2"/>
        <v>37011</v>
      </c>
      <c r="B30" s="1112">
        <f t="shared" si="0"/>
        <v>2002</v>
      </c>
      <c r="C30" s="1279">
        <v>74.400000000000006</v>
      </c>
      <c r="D30" s="1279">
        <v>173.1</v>
      </c>
      <c r="E30" s="1113" t="str">
        <f>IF($A30&lt;DATE(2018,7,1),"-",INDEX('I1 - Universal Data'!$E$16:$V$16, MATCH(YEAR(EOMONTH($A30,6)), 'I1 - Universal Data'!$E$14:$V$14, 0)))</f>
        <v>-</v>
      </c>
      <c r="F30" s="1113" t="str">
        <f>IF($A30&lt;DATE(2018,7,1),"-",INDEX('I1 - Universal Data'!$E$15:$V$15, MATCH(YEAR(EOMONTH($A30,6)), 'I1 - Universal Data'!$E$14:$V$14, 0)))</f>
        <v>-</v>
      </c>
      <c r="G30" s="1114">
        <f t="shared" si="3"/>
        <v>74.400000000000006</v>
      </c>
      <c r="H30" s="1114">
        <f t="shared" si="3"/>
        <v>173.1</v>
      </c>
      <c r="U30" s="1102"/>
    </row>
    <row r="31" spans="1:21">
      <c r="A31" s="1111">
        <f t="shared" si="2"/>
        <v>37042</v>
      </c>
      <c r="B31" s="1112">
        <f t="shared" si="0"/>
        <v>2002</v>
      </c>
      <c r="C31" s="1279">
        <v>74.900000000000006</v>
      </c>
      <c r="D31" s="1279">
        <v>174.2</v>
      </c>
      <c r="E31" s="1113" t="str">
        <f>IF($A31&lt;DATE(2018,7,1),"-",INDEX('I1 - Universal Data'!$E$16:$V$16, MATCH(YEAR(EOMONTH($A31,6)), 'I1 - Universal Data'!$E$14:$V$14, 0)))</f>
        <v>-</v>
      </c>
      <c r="F31" s="1113" t="str">
        <f>IF($A31&lt;DATE(2018,7,1),"-",INDEX('I1 - Universal Data'!$E$15:$V$15, MATCH(YEAR(EOMONTH($A31,6)), 'I1 - Universal Data'!$E$14:$V$14, 0)))</f>
        <v>-</v>
      </c>
      <c r="G31" s="1114">
        <f t="shared" si="3"/>
        <v>74.900000000000006</v>
      </c>
      <c r="H31" s="1114">
        <f t="shared" si="3"/>
        <v>174.2</v>
      </c>
      <c r="U31" s="1102"/>
    </row>
    <row r="32" spans="1:21">
      <c r="A32" s="1111">
        <f t="shared" si="2"/>
        <v>37072</v>
      </c>
      <c r="B32" s="1112">
        <f t="shared" si="0"/>
        <v>2002</v>
      </c>
      <c r="C32" s="1279">
        <v>75</v>
      </c>
      <c r="D32" s="1279">
        <v>174.4</v>
      </c>
      <c r="E32" s="1113" t="str">
        <f>IF($A32&lt;DATE(2018,7,1),"-",INDEX('I1 - Universal Data'!$E$16:$V$16, MATCH(YEAR(EOMONTH($A32,6)), 'I1 - Universal Data'!$E$14:$V$14, 0)))</f>
        <v>-</v>
      </c>
      <c r="F32" s="1113" t="str">
        <f>IF($A32&lt;DATE(2018,7,1),"-",INDEX('I1 - Universal Data'!$E$15:$V$15, MATCH(YEAR(EOMONTH($A32,6)), 'I1 - Universal Data'!$E$14:$V$14, 0)))</f>
        <v>-</v>
      </c>
      <c r="G32" s="1114">
        <f t="shared" si="3"/>
        <v>75</v>
      </c>
      <c r="H32" s="1114">
        <f t="shared" si="3"/>
        <v>174.4</v>
      </c>
      <c r="U32" s="1102"/>
    </row>
    <row r="33" spans="1:21">
      <c r="A33" s="1111">
        <f t="shared" si="2"/>
        <v>37103</v>
      </c>
      <c r="B33" s="1112">
        <f t="shared" si="0"/>
        <v>2002</v>
      </c>
      <c r="C33" s="1279">
        <v>74.5</v>
      </c>
      <c r="D33" s="1279">
        <v>173.3</v>
      </c>
      <c r="E33" s="1113" t="str">
        <f>IF($A33&lt;DATE(2018,7,1),"-",INDEX('I1 - Universal Data'!$E$16:$V$16, MATCH(YEAR(EOMONTH($A33,6)), 'I1 - Universal Data'!$E$14:$V$14, 0)))</f>
        <v>-</v>
      </c>
      <c r="F33" s="1113" t="str">
        <f>IF($A33&lt;DATE(2018,7,1),"-",INDEX('I1 - Universal Data'!$E$15:$V$15, MATCH(YEAR(EOMONTH($A33,6)), 'I1 - Universal Data'!$E$14:$V$14, 0)))</f>
        <v>-</v>
      </c>
      <c r="G33" s="1114">
        <f t="shared" si="3"/>
        <v>74.5</v>
      </c>
      <c r="H33" s="1114">
        <f t="shared" si="3"/>
        <v>173.3</v>
      </c>
      <c r="U33" s="1102"/>
    </row>
    <row r="34" spans="1:21">
      <c r="A34" s="1111">
        <f t="shared" si="2"/>
        <v>37134</v>
      </c>
      <c r="B34" s="1112">
        <f t="shared" si="0"/>
        <v>2002</v>
      </c>
      <c r="C34" s="1279">
        <v>74.8</v>
      </c>
      <c r="D34" s="1279">
        <v>174</v>
      </c>
      <c r="E34" s="1113" t="str">
        <f>IF($A34&lt;DATE(2018,7,1),"-",INDEX('I1 - Universal Data'!$E$16:$V$16, MATCH(YEAR(EOMONTH($A34,6)), 'I1 - Universal Data'!$E$14:$V$14, 0)))</f>
        <v>-</v>
      </c>
      <c r="F34" s="1113" t="str">
        <f>IF($A34&lt;DATE(2018,7,1),"-",INDEX('I1 - Universal Data'!$E$15:$V$15, MATCH(YEAR(EOMONTH($A34,6)), 'I1 - Universal Data'!$E$14:$V$14, 0)))</f>
        <v>-</v>
      </c>
      <c r="G34" s="1114">
        <f t="shared" si="3"/>
        <v>74.8</v>
      </c>
      <c r="H34" s="1114">
        <f t="shared" si="3"/>
        <v>174</v>
      </c>
      <c r="U34" s="1102"/>
    </row>
    <row r="35" spans="1:21">
      <c r="A35" s="1111">
        <f t="shared" si="2"/>
        <v>37164</v>
      </c>
      <c r="B35" s="1112">
        <f t="shared" si="0"/>
        <v>2002</v>
      </c>
      <c r="C35" s="1279">
        <v>75</v>
      </c>
      <c r="D35" s="1279">
        <v>174.6</v>
      </c>
      <c r="E35" s="1113" t="str">
        <f>IF($A35&lt;DATE(2018,7,1),"-",INDEX('I1 - Universal Data'!$E$16:$V$16, MATCH(YEAR(EOMONTH($A35,6)), 'I1 - Universal Data'!$E$14:$V$14, 0)))</f>
        <v>-</v>
      </c>
      <c r="F35" s="1113" t="str">
        <f>IF($A35&lt;DATE(2018,7,1),"-",INDEX('I1 - Universal Data'!$E$15:$V$15, MATCH(YEAR(EOMONTH($A35,6)), 'I1 - Universal Data'!$E$14:$V$14, 0)))</f>
        <v>-</v>
      </c>
      <c r="G35" s="1114">
        <f t="shared" si="3"/>
        <v>75</v>
      </c>
      <c r="H35" s="1114">
        <f t="shared" si="3"/>
        <v>174.6</v>
      </c>
      <c r="U35" s="1102"/>
    </row>
    <row r="36" spans="1:21">
      <c r="A36" s="1111">
        <f t="shared" si="2"/>
        <v>37195</v>
      </c>
      <c r="B36" s="1112">
        <f t="shared" si="0"/>
        <v>2002</v>
      </c>
      <c r="C36" s="1279">
        <v>74.900000000000006</v>
      </c>
      <c r="D36" s="1279">
        <v>174.3</v>
      </c>
      <c r="E36" s="1113" t="str">
        <f>IF($A36&lt;DATE(2018,7,1),"-",INDEX('I1 - Universal Data'!$E$16:$V$16, MATCH(YEAR(EOMONTH($A36,6)), 'I1 - Universal Data'!$E$14:$V$14, 0)))</f>
        <v>-</v>
      </c>
      <c r="F36" s="1113" t="str">
        <f>IF($A36&lt;DATE(2018,7,1),"-",INDEX('I1 - Universal Data'!$E$15:$V$15, MATCH(YEAR(EOMONTH($A36,6)), 'I1 - Universal Data'!$E$14:$V$14, 0)))</f>
        <v>-</v>
      </c>
      <c r="G36" s="1114">
        <f t="shared" si="3"/>
        <v>74.900000000000006</v>
      </c>
      <c r="H36" s="1114">
        <f t="shared" si="3"/>
        <v>174.3</v>
      </c>
      <c r="U36" s="1102"/>
    </row>
    <row r="37" spans="1:21">
      <c r="A37" s="1111">
        <f t="shared" si="2"/>
        <v>37225</v>
      </c>
      <c r="B37" s="1112">
        <f t="shared" si="0"/>
        <v>2002</v>
      </c>
      <c r="C37" s="1279">
        <v>74.900000000000006</v>
      </c>
      <c r="D37" s="1279">
        <v>173.6</v>
      </c>
      <c r="E37" s="1113" t="str">
        <f>IF($A37&lt;DATE(2018,7,1),"-",INDEX('I1 - Universal Data'!$E$16:$V$16, MATCH(YEAR(EOMONTH($A37,6)), 'I1 - Universal Data'!$E$14:$V$14, 0)))</f>
        <v>-</v>
      </c>
      <c r="F37" s="1113" t="str">
        <f>IF($A37&lt;DATE(2018,7,1),"-",INDEX('I1 - Universal Data'!$E$15:$V$15, MATCH(YEAR(EOMONTH($A37,6)), 'I1 - Universal Data'!$E$14:$V$14, 0)))</f>
        <v>-</v>
      </c>
      <c r="G37" s="1114">
        <f t="shared" si="3"/>
        <v>74.900000000000006</v>
      </c>
      <c r="H37" s="1114">
        <f t="shared" si="3"/>
        <v>173.6</v>
      </c>
      <c r="U37" s="1102"/>
    </row>
    <row r="38" spans="1:21">
      <c r="A38" s="1111">
        <f t="shared" si="2"/>
        <v>37256</v>
      </c>
      <c r="B38" s="1112">
        <f t="shared" si="0"/>
        <v>2002</v>
      </c>
      <c r="C38" s="1279">
        <v>75</v>
      </c>
      <c r="D38" s="1279">
        <v>173.4</v>
      </c>
      <c r="E38" s="1113" t="str">
        <f>IF($A38&lt;DATE(2018,7,1),"-",INDEX('I1 - Universal Data'!$E$16:$V$16, MATCH(YEAR(EOMONTH($A38,6)), 'I1 - Universal Data'!$E$14:$V$14, 0)))</f>
        <v>-</v>
      </c>
      <c r="F38" s="1113" t="str">
        <f>IF($A38&lt;DATE(2018,7,1),"-",INDEX('I1 - Universal Data'!$E$15:$V$15, MATCH(YEAR(EOMONTH($A38,6)), 'I1 - Universal Data'!$E$14:$V$14, 0)))</f>
        <v>-</v>
      </c>
      <c r="G38" s="1114">
        <f t="shared" ref="G38:H53" si="4">IF(ISBLANK(C38),G37*((1+E38)^(1/12)),C38)</f>
        <v>75</v>
      </c>
      <c r="H38" s="1114">
        <f t="shared" si="4"/>
        <v>173.4</v>
      </c>
      <c r="U38" s="1102"/>
    </row>
    <row r="39" spans="1:21">
      <c r="A39" s="1111">
        <f t="shared" si="2"/>
        <v>37287</v>
      </c>
      <c r="B39" s="1112">
        <f t="shared" si="0"/>
        <v>2002</v>
      </c>
      <c r="C39" s="1279">
        <v>74.8</v>
      </c>
      <c r="D39" s="1279">
        <v>173.3</v>
      </c>
      <c r="E39" s="1113" t="str">
        <f>IF($A39&lt;DATE(2018,7,1),"-",INDEX('I1 - Universal Data'!$E$16:$V$16, MATCH(YEAR(EOMONTH($A39,6)), 'I1 - Universal Data'!$E$14:$V$14, 0)))</f>
        <v>-</v>
      </c>
      <c r="F39" s="1113" t="str">
        <f>IF($A39&lt;DATE(2018,7,1),"-",INDEX('I1 - Universal Data'!$E$15:$V$15, MATCH(YEAR(EOMONTH($A39,6)), 'I1 - Universal Data'!$E$14:$V$14, 0)))</f>
        <v>-</v>
      </c>
      <c r="G39" s="1114">
        <f t="shared" si="4"/>
        <v>74.8</v>
      </c>
      <c r="H39" s="1114">
        <f t="shared" si="4"/>
        <v>173.3</v>
      </c>
      <c r="U39" s="1102"/>
    </row>
    <row r="40" spans="1:21">
      <c r="A40" s="1111">
        <f t="shared" si="2"/>
        <v>37315</v>
      </c>
      <c r="B40" s="1112">
        <f t="shared" si="0"/>
        <v>2002</v>
      </c>
      <c r="C40" s="1279">
        <v>75</v>
      </c>
      <c r="D40" s="1279">
        <v>173.8</v>
      </c>
      <c r="E40" s="1113" t="str">
        <f>IF($A40&lt;DATE(2018,7,1),"-",INDEX('I1 - Universal Data'!$E$16:$V$16, MATCH(YEAR(EOMONTH($A40,6)), 'I1 - Universal Data'!$E$14:$V$14, 0)))</f>
        <v>-</v>
      </c>
      <c r="F40" s="1113" t="str">
        <f>IF($A40&lt;DATE(2018,7,1),"-",INDEX('I1 - Universal Data'!$E$15:$V$15, MATCH(YEAR(EOMONTH($A40,6)), 'I1 - Universal Data'!$E$14:$V$14, 0)))</f>
        <v>-</v>
      </c>
      <c r="G40" s="1114">
        <f t="shared" si="4"/>
        <v>75</v>
      </c>
      <c r="H40" s="1114">
        <f t="shared" si="4"/>
        <v>173.8</v>
      </c>
      <c r="U40" s="1102"/>
    </row>
    <row r="41" spans="1:21">
      <c r="A41" s="1111">
        <f t="shared" si="2"/>
        <v>37346</v>
      </c>
      <c r="B41" s="1112">
        <f t="shared" si="0"/>
        <v>2002</v>
      </c>
      <c r="C41" s="1279">
        <v>75.2</v>
      </c>
      <c r="D41" s="1279">
        <v>174.5</v>
      </c>
      <c r="E41" s="1113" t="str">
        <f>IF($A41&lt;DATE(2018,7,1),"-",INDEX('I1 - Universal Data'!$E$16:$V$16, MATCH(YEAR(EOMONTH($A41,6)), 'I1 - Universal Data'!$E$14:$V$14, 0)))</f>
        <v>-</v>
      </c>
      <c r="F41" s="1113" t="str">
        <f>IF($A41&lt;DATE(2018,7,1),"-",INDEX('I1 - Universal Data'!$E$15:$V$15, MATCH(YEAR(EOMONTH($A41,6)), 'I1 - Universal Data'!$E$14:$V$14, 0)))</f>
        <v>-</v>
      </c>
      <c r="G41" s="1114">
        <f t="shared" si="4"/>
        <v>75.2</v>
      </c>
      <c r="H41" s="1114">
        <f t="shared" si="4"/>
        <v>174.5</v>
      </c>
      <c r="U41" s="1102"/>
    </row>
    <row r="42" spans="1:21">
      <c r="A42" s="1111">
        <f t="shared" si="2"/>
        <v>37376</v>
      </c>
      <c r="B42" s="1112">
        <f t="shared" si="0"/>
        <v>2003</v>
      </c>
      <c r="C42" s="1279">
        <v>75.599999999999994</v>
      </c>
      <c r="D42" s="1279">
        <v>175.7</v>
      </c>
      <c r="E42" s="1113" t="str">
        <f>IF($A42&lt;DATE(2018,7,1),"-",INDEX('I1 - Universal Data'!$E$16:$V$16, MATCH(YEAR(EOMONTH($A42,6)), 'I1 - Universal Data'!$E$14:$V$14, 0)))</f>
        <v>-</v>
      </c>
      <c r="F42" s="1113" t="str">
        <f>IF($A42&lt;DATE(2018,7,1),"-",INDEX('I1 - Universal Data'!$E$15:$V$15, MATCH(YEAR(EOMONTH($A42,6)), 'I1 - Universal Data'!$E$14:$V$14, 0)))</f>
        <v>-</v>
      </c>
      <c r="G42" s="1114">
        <f t="shared" si="4"/>
        <v>75.599999999999994</v>
      </c>
      <c r="H42" s="1114">
        <f t="shared" si="4"/>
        <v>175.7</v>
      </c>
      <c r="U42" s="1102"/>
    </row>
    <row r="43" spans="1:21">
      <c r="A43" s="1111">
        <f t="shared" si="2"/>
        <v>37407</v>
      </c>
      <c r="B43" s="1112">
        <f t="shared" si="0"/>
        <v>2003</v>
      </c>
      <c r="C43" s="1279">
        <v>75.8</v>
      </c>
      <c r="D43" s="1279">
        <v>176.2</v>
      </c>
      <c r="E43" s="1113" t="str">
        <f>IF($A43&lt;DATE(2018,7,1),"-",INDEX('I1 - Universal Data'!$E$16:$V$16, MATCH(YEAR(EOMONTH($A43,6)), 'I1 - Universal Data'!$E$14:$V$14, 0)))</f>
        <v>-</v>
      </c>
      <c r="F43" s="1113" t="str">
        <f>IF($A43&lt;DATE(2018,7,1),"-",INDEX('I1 - Universal Data'!$E$15:$V$15, MATCH(YEAR(EOMONTH($A43,6)), 'I1 - Universal Data'!$E$14:$V$14, 0)))</f>
        <v>-</v>
      </c>
      <c r="G43" s="1114">
        <f t="shared" si="4"/>
        <v>75.8</v>
      </c>
      <c r="H43" s="1114">
        <f t="shared" si="4"/>
        <v>176.2</v>
      </c>
      <c r="U43" s="1102"/>
    </row>
    <row r="44" spans="1:21">
      <c r="A44" s="1111">
        <f t="shared" si="2"/>
        <v>37437</v>
      </c>
      <c r="B44" s="1112">
        <f t="shared" si="0"/>
        <v>2003</v>
      </c>
      <c r="C44" s="1279">
        <v>75.8</v>
      </c>
      <c r="D44" s="1279">
        <v>176.2</v>
      </c>
      <c r="E44" s="1113" t="str">
        <f>IF($A44&lt;DATE(2018,7,1),"-",INDEX('I1 - Universal Data'!$E$16:$V$16, MATCH(YEAR(EOMONTH($A44,6)), 'I1 - Universal Data'!$E$14:$V$14, 0)))</f>
        <v>-</v>
      </c>
      <c r="F44" s="1113" t="str">
        <f>IF($A44&lt;DATE(2018,7,1),"-",INDEX('I1 - Universal Data'!$E$15:$V$15, MATCH(YEAR(EOMONTH($A44,6)), 'I1 - Universal Data'!$E$14:$V$14, 0)))</f>
        <v>-</v>
      </c>
      <c r="G44" s="1114">
        <f t="shared" si="4"/>
        <v>75.8</v>
      </c>
      <c r="H44" s="1114">
        <f t="shared" si="4"/>
        <v>176.2</v>
      </c>
      <c r="U44" s="1102"/>
    </row>
    <row r="45" spans="1:21">
      <c r="A45" s="1111">
        <f t="shared" si="2"/>
        <v>37468</v>
      </c>
      <c r="B45" s="1112">
        <f t="shared" si="0"/>
        <v>2003</v>
      </c>
      <c r="C45" s="1279">
        <v>75.599999999999994</v>
      </c>
      <c r="D45" s="1279">
        <v>175.9</v>
      </c>
      <c r="E45" s="1113" t="str">
        <f>IF($A45&lt;DATE(2018,7,1),"-",INDEX('I1 - Universal Data'!$E$16:$V$16, MATCH(YEAR(EOMONTH($A45,6)), 'I1 - Universal Data'!$E$14:$V$14, 0)))</f>
        <v>-</v>
      </c>
      <c r="F45" s="1113" t="str">
        <f>IF($A45&lt;DATE(2018,7,1),"-",INDEX('I1 - Universal Data'!$E$15:$V$15, MATCH(YEAR(EOMONTH($A45,6)), 'I1 - Universal Data'!$E$14:$V$14, 0)))</f>
        <v>-</v>
      </c>
      <c r="G45" s="1114">
        <f t="shared" si="4"/>
        <v>75.599999999999994</v>
      </c>
      <c r="H45" s="1114">
        <f t="shared" si="4"/>
        <v>175.9</v>
      </c>
      <c r="U45" s="1102"/>
    </row>
    <row r="46" spans="1:21">
      <c r="A46" s="1111">
        <f t="shared" si="2"/>
        <v>37499</v>
      </c>
      <c r="B46" s="1112">
        <f t="shared" si="0"/>
        <v>2003</v>
      </c>
      <c r="C46" s="1279">
        <v>75.8</v>
      </c>
      <c r="D46" s="1279">
        <v>176.4</v>
      </c>
      <c r="E46" s="1113" t="str">
        <f>IF($A46&lt;DATE(2018,7,1),"-",INDEX('I1 - Universal Data'!$E$16:$V$16, MATCH(YEAR(EOMONTH($A46,6)), 'I1 - Universal Data'!$E$14:$V$14, 0)))</f>
        <v>-</v>
      </c>
      <c r="F46" s="1113" t="str">
        <f>IF($A46&lt;DATE(2018,7,1),"-",INDEX('I1 - Universal Data'!$E$15:$V$15, MATCH(YEAR(EOMONTH($A46,6)), 'I1 - Universal Data'!$E$14:$V$14, 0)))</f>
        <v>-</v>
      </c>
      <c r="G46" s="1114">
        <f t="shared" si="4"/>
        <v>75.8</v>
      </c>
      <c r="H46" s="1114">
        <f t="shared" si="4"/>
        <v>176.4</v>
      </c>
      <c r="U46" s="1102"/>
    </row>
    <row r="47" spans="1:21">
      <c r="A47" s="1111">
        <f t="shared" si="2"/>
        <v>37529</v>
      </c>
      <c r="B47" s="1112">
        <f t="shared" si="0"/>
        <v>2003</v>
      </c>
      <c r="C47" s="1279">
        <v>76</v>
      </c>
      <c r="D47" s="1279">
        <v>177.6</v>
      </c>
      <c r="E47" s="1113" t="str">
        <f>IF($A47&lt;DATE(2018,7,1),"-",INDEX('I1 - Universal Data'!$E$16:$V$16, MATCH(YEAR(EOMONTH($A47,6)), 'I1 - Universal Data'!$E$14:$V$14, 0)))</f>
        <v>-</v>
      </c>
      <c r="F47" s="1113" t="str">
        <f>IF($A47&lt;DATE(2018,7,1),"-",INDEX('I1 - Universal Data'!$E$15:$V$15, MATCH(YEAR(EOMONTH($A47,6)), 'I1 - Universal Data'!$E$14:$V$14, 0)))</f>
        <v>-</v>
      </c>
      <c r="G47" s="1114">
        <f t="shared" si="4"/>
        <v>76</v>
      </c>
      <c r="H47" s="1114">
        <f t="shared" si="4"/>
        <v>177.6</v>
      </c>
      <c r="U47" s="1102"/>
    </row>
    <row r="48" spans="1:21">
      <c r="A48" s="1111">
        <f t="shared" si="2"/>
        <v>37560</v>
      </c>
      <c r="B48" s="1112">
        <f t="shared" si="0"/>
        <v>2003</v>
      </c>
      <c r="C48" s="1279">
        <v>76.099999999999994</v>
      </c>
      <c r="D48" s="1279">
        <v>177.9</v>
      </c>
      <c r="E48" s="1113" t="str">
        <f>IF($A48&lt;DATE(2018,7,1),"-",INDEX('I1 - Universal Data'!$E$16:$V$16, MATCH(YEAR(EOMONTH($A48,6)), 'I1 - Universal Data'!$E$14:$V$14, 0)))</f>
        <v>-</v>
      </c>
      <c r="F48" s="1113" t="str">
        <f>IF($A48&lt;DATE(2018,7,1),"-",INDEX('I1 - Universal Data'!$E$15:$V$15, MATCH(YEAR(EOMONTH($A48,6)), 'I1 - Universal Data'!$E$14:$V$14, 0)))</f>
        <v>-</v>
      </c>
      <c r="G48" s="1114">
        <f t="shared" si="4"/>
        <v>76.099999999999994</v>
      </c>
      <c r="H48" s="1114">
        <f t="shared" si="4"/>
        <v>177.9</v>
      </c>
      <c r="U48" s="1102"/>
    </row>
    <row r="49" spans="1:21">
      <c r="A49" s="1111">
        <f t="shared" si="2"/>
        <v>37590</v>
      </c>
      <c r="B49" s="1112">
        <f t="shared" si="0"/>
        <v>2003</v>
      </c>
      <c r="C49" s="1279">
        <v>76.099999999999994</v>
      </c>
      <c r="D49" s="1279">
        <v>178.2</v>
      </c>
      <c r="E49" s="1113" t="str">
        <f>IF($A49&lt;DATE(2018,7,1),"-",INDEX('I1 - Universal Data'!$E$16:$V$16, MATCH(YEAR(EOMONTH($A49,6)), 'I1 - Universal Data'!$E$14:$V$14, 0)))</f>
        <v>-</v>
      </c>
      <c r="F49" s="1113" t="str">
        <f>IF($A49&lt;DATE(2018,7,1),"-",INDEX('I1 - Universal Data'!$E$15:$V$15, MATCH(YEAR(EOMONTH($A49,6)), 'I1 - Universal Data'!$E$14:$V$14, 0)))</f>
        <v>-</v>
      </c>
      <c r="G49" s="1114">
        <f t="shared" si="4"/>
        <v>76.099999999999994</v>
      </c>
      <c r="H49" s="1114">
        <f t="shared" si="4"/>
        <v>178.2</v>
      </c>
      <c r="U49" s="1102"/>
    </row>
    <row r="50" spans="1:21">
      <c r="A50" s="1111">
        <f t="shared" si="2"/>
        <v>37621</v>
      </c>
      <c r="B50" s="1112">
        <f t="shared" si="0"/>
        <v>2003</v>
      </c>
      <c r="C50" s="1279">
        <v>76.3</v>
      </c>
      <c r="D50" s="1279">
        <v>178.5</v>
      </c>
      <c r="E50" s="1113" t="str">
        <f>IF($A50&lt;DATE(2018,7,1),"-",INDEX('I1 - Universal Data'!$E$16:$V$16, MATCH(YEAR(EOMONTH($A50,6)), 'I1 - Universal Data'!$E$14:$V$14, 0)))</f>
        <v>-</v>
      </c>
      <c r="F50" s="1113" t="str">
        <f>IF($A50&lt;DATE(2018,7,1),"-",INDEX('I1 - Universal Data'!$E$15:$V$15, MATCH(YEAR(EOMONTH($A50,6)), 'I1 - Universal Data'!$E$14:$V$14, 0)))</f>
        <v>-</v>
      </c>
      <c r="G50" s="1114">
        <f t="shared" si="4"/>
        <v>76.3</v>
      </c>
      <c r="H50" s="1114">
        <f t="shared" si="4"/>
        <v>178.5</v>
      </c>
      <c r="U50" s="1102"/>
    </row>
    <row r="51" spans="1:21">
      <c r="A51" s="1111">
        <f t="shared" si="2"/>
        <v>37652</v>
      </c>
      <c r="B51" s="1112">
        <f t="shared" si="0"/>
        <v>2003</v>
      </c>
      <c r="C51" s="1279">
        <v>75.900000000000006</v>
      </c>
      <c r="D51" s="1279">
        <v>178.4</v>
      </c>
      <c r="E51" s="1113" t="str">
        <f>IF($A51&lt;DATE(2018,7,1),"-",INDEX('I1 - Universal Data'!$E$16:$V$16, MATCH(YEAR(EOMONTH($A51,6)), 'I1 - Universal Data'!$E$14:$V$14, 0)))</f>
        <v>-</v>
      </c>
      <c r="F51" s="1113" t="str">
        <f>IF($A51&lt;DATE(2018,7,1),"-",INDEX('I1 - Universal Data'!$E$15:$V$15, MATCH(YEAR(EOMONTH($A51,6)), 'I1 - Universal Data'!$E$14:$V$14, 0)))</f>
        <v>-</v>
      </c>
      <c r="G51" s="1114">
        <f t="shared" si="4"/>
        <v>75.900000000000006</v>
      </c>
      <c r="H51" s="1114">
        <f t="shared" si="4"/>
        <v>178.4</v>
      </c>
      <c r="U51" s="1102"/>
    </row>
    <row r="52" spans="1:21">
      <c r="A52" s="1111">
        <f t="shared" si="2"/>
        <v>37680</v>
      </c>
      <c r="B52" s="1112">
        <f t="shared" si="0"/>
        <v>2003</v>
      </c>
      <c r="C52" s="1279">
        <v>76.099999999999994</v>
      </c>
      <c r="D52" s="1279">
        <v>179.3</v>
      </c>
      <c r="E52" s="1113" t="str">
        <f>IF($A52&lt;DATE(2018,7,1),"-",INDEX('I1 - Universal Data'!$E$16:$V$16, MATCH(YEAR(EOMONTH($A52,6)), 'I1 - Universal Data'!$E$14:$V$14, 0)))</f>
        <v>-</v>
      </c>
      <c r="F52" s="1113" t="str">
        <f>IF($A52&lt;DATE(2018,7,1),"-",INDEX('I1 - Universal Data'!$E$15:$V$15, MATCH(YEAR(EOMONTH($A52,6)), 'I1 - Universal Data'!$E$14:$V$14, 0)))</f>
        <v>-</v>
      </c>
      <c r="G52" s="1114">
        <f t="shared" si="4"/>
        <v>76.099999999999994</v>
      </c>
      <c r="H52" s="1114">
        <f t="shared" si="4"/>
        <v>179.3</v>
      </c>
      <c r="U52" s="1102"/>
    </row>
    <row r="53" spans="1:21">
      <c r="A53" s="1111">
        <f t="shared" si="2"/>
        <v>37711</v>
      </c>
      <c r="B53" s="1112">
        <f t="shared" si="0"/>
        <v>2003</v>
      </c>
      <c r="C53" s="1279">
        <v>76.400000000000006</v>
      </c>
      <c r="D53" s="1279">
        <v>179.9</v>
      </c>
      <c r="E53" s="1113" t="str">
        <f>IF($A53&lt;DATE(2018,7,1),"-",INDEX('I1 - Universal Data'!$E$16:$V$16, MATCH(YEAR(EOMONTH($A53,6)), 'I1 - Universal Data'!$E$14:$V$14, 0)))</f>
        <v>-</v>
      </c>
      <c r="F53" s="1113" t="str">
        <f>IF($A53&lt;DATE(2018,7,1),"-",INDEX('I1 - Universal Data'!$E$15:$V$15, MATCH(YEAR(EOMONTH($A53,6)), 'I1 - Universal Data'!$E$14:$V$14, 0)))</f>
        <v>-</v>
      </c>
      <c r="G53" s="1114">
        <f t="shared" si="4"/>
        <v>76.400000000000006</v>
      </c>
      <c r="H53" s="1114">
        <f t="shared" si="4"/>
        <v>179.9</v>
      </c>
      <c r="U53" s="1102"/>
    </row>
    <row r="54" spans="1:21">
      <c r="A54" s="1111">
        <f t="shared" si="2"/>
        <v>37741</v>
      </c>
      <c r="B54" s="1112">
        <f t="shared" si="0"/>
        <v>2004</v>
      </c>
      <c r="C54" s="1279">
        <v>76.8</v>
      </c>
      <c r="D54" s="1279">
        <v>181.2</v>
      </c>
      <c r="E54" s="1113" t="str">
        <f>IF($A54&lt;DATE(2018,7,1),"-",INDEX('I1 - Universal Data'!$E$16:$V$16, MATCH(YEAR(EOMONTH($A54,6)), 'I1 - Universal Data'!$E$14:$V$14, 0)))</f>
        <v>-</v>
      </c>
      <c r="F54" s="1113" t="str">
        <f>IF($A54&lt;DATE(2018,7,1),"-",INDEX('I1 - Universal Data'!$E$15:$V$15, MATCH(YEAR(EOMONTH($A54,6)), 'I1 - Universal Data'!$E$14:$V$14, 0)))</f>
        <v>-</v>
      </c>
      <c r="G54" s="1114">
        <f t="shared" ref="G54:H69" si="5">IF(ISBLANK(C54),G53*((1+E54)^(1/12)),C54)</f>
        <v>76.8</v>
      </c>
      <c r="H54" s="1114">
        <f t="shared" si="5"/>
        <v>181.2</v>
      </c>
      <c r="U54" s="1102"/>
    </row>
    <row r="55" spans="1:21">
      <c r="A55" s="1111">
        <f t="shared" si="2"/>
        <v>37772</v>
      </c>
      <c r="B55" s="1112">
        <f t="shared" si="0"/>
        <v>2004</v>
      </c>
      <c r="C55" s="1279">
        <v>76.8</v>
      </c>
      <c r="D55" s="1279">
        <v>181.5</v>
      </c>
      <c r="E55" s="1113" t="str">
        <f>IF($A55&lt;DATE(2018,7,1),"-",INDEX('I1 - Universal Data'!$E$16:$V$16, MATCH(YEAR(EOMONTH($A55,6)), 'I1 - Universal Data'!$E$14:$V$14, 0)))</f>
        <v>-</v>
      </c>
      <c r="F55" s="1113" t="str">
        <f>IF($A55&lt;DATE(2018,7,1),"-",INDEX('I1 - Universal Data'!$E$15:$V$15, MATCH(YEAR(EOMONTH($A55,6)), 'I1 - Universal Data'!$E$14:$V$14, 0)))</f>
        <v>-</v>
      </c>
      <c r="G55" s="1114">
        <f t="shared" si="5"/>
        <v>76.8</v>
      </c>
      <c r="H55" s="1114">
        <f t="shared" si="5"/>
        <v>181.5</v>
      </c>
      <c r="U55" s="1102"/>
    </row>
    <row r="56" spans="1:21">
      <c r="A56" s="1111">
        <f t="shared" si="2"/>
        <v>37802</v>
      </c>
      <c r="B56" s="1112">
        <f t="shared" si="0"/>
        <v>2004</v>
      </c>
      <c r="C56" s="1279">
        <v>76.7</v>
      </c>
      <c r="D56" s="1279">
        <v>181.3</v>
      </c>
      <c r="E56" s="1113" t="str">
        <f>IF($A56&lt;DATE(2018,7,1),"-",INDEX('I1 - Universal Data'!$E$16:$V$16, MATCH(YEAR(EOMONTH($A56,6)), 'I1 - Universal Data'!$E$14:$V$14, 0)))</f>
        <v>-</v>
      </c>
      <c r="F56" s="1113" t="str">
        <f>IF($A56&lt;DATE(2018,7,1),"-",INDEX('I1 - Universal Data'!$E$15:$V$15, MATCH(YEAR(EOMONTH($A56,6)), 'I1 - Universal Data'!$E$14:$V$14, 0)))</f>
        <v>-</v>
      </c>
      <c r="G56" s="1114">
        <f t="shared" si="5"/>
        <v>76.7</v>
      </c>
      <c r="H56" s="1114">
        <f t="shared" si="5"/>
        <v>181.3</v>
      </c>
      <c r="U56" s="1102"/>
    </row>
    <row r="57" spans="1:21">
      <c r="A57" s="1111">
        <f t="shared" si="2"/>
        <v>37833</v>
      </c>
      <c r="B57" s="1112">
        <f t="shared" si="0"/>
        <v>2004</v>
      </c>
      <c r="C57" s="1279">
        <v>76.599999999999994</v>
      </c>
      <c r="D57" s="1279">
        <v>181.3</v>
      </c>
      <c r="E57" s="1113" t="str">
        <f>IF($A57&lt;DATE(2018,7,1),"-",INDEX('I1 - Universal Data'!$E$16:$V$16, MATCH(YEAR(EOMONTH($A57,6)), 'I1 - Universal Data'!$E$14:$V$14, 0)))</f>
        <v>-</v>
      </c>
      <c r="F57" s="1113" t="str">
        <f>IF($A57&lt;DATE(2018,7,1),"-",INDEX('I1 - Universal Data'!$E$15:$V$15, MATCH(YEAR(EOMONTH($A57,6)), 'I1 - Universal Data'!$E$14:$V$14, 0)))</f>
        <v>-</v>
      </c>
      <c r="G57" s="1114">
        <f t="shared" si="5"/>
        <v>76.599999999999994</v>
      </c>
      <c r="H57" s="1114">
        <f t="shared" si="5"/>
        <v>181.3</v>
      </c>
      <c r="U57" s="1102"/>
    </row>
    <row r="58" spans="1:21">
      <c r="A58" s="1111">
        <f t="shared" si="2"/>
        <v>37864</v>
      </c>
      <c r="B58" s="1112">
        <f t="shared" si="0"/>
        <v>2004</v>
      </c>
      <c r="C58" s="1279">
        <v>76.8</v>
      </c>
      <c r="D58" s="1279">
        <v>181.6</v>
      </c>
      <c r="E58" s="1113" t="str">
        <f>IF($A58&lt;DATE(2018,7,1),"-",INDEX('I1 - Universal Data'!$E$16:$V$16, MATCH(YEAR(EOMONTH($A58,6)), 'I1 - Universal Data'!$E$14:$V$14, 0)))</f>
        <v>-</v>
      </c>
      <c r="F58" s="1113" t="str">
        <f>IF($A58&lt;DATE(2018,7,1),"-",INDEX('I1 - Universal Data'!$E$15:$V$15, MATCH(YEAR(EOMONTH($A58,6)), 'I1 - Universal Data'!$E$14:$V$14, 0)))</f>
        <v>-</v>
      </c>
      <c r="G58" s="1114">
        <f t="shared" si="5"/>
        <v>76.8</v>
      </c>
      <c r="H58" s="1114">
        <f t="shared" si="5"/>
        <v>181.6</v>
      </c>
      <c r="U58" s="1102"/>
    </row>
    <row r="59" spans="1:21">
      <c r="A59" s="1111">
        <f t="shared" si="2"/>
        <v>37894</v>
      </c>
      <c r="B59" s="1112">
        <f t="shared" si="0"/>
        <v>2004</v>
      </c>
      <c r="C59" s="1279">
        <v>77</v>
      </c>
      <c r="D59" s="1279">
        <v>182.5</v>
      </c>
      <c r="E59" s="1113" t="str">
        <f>IF($A59&lt;DATE(2018,7,1),"-",INDEX('I1 - Universal Data'!$E$16:$V$16, MATCH(YEAR(EOMONTH($A59,6)), 'I1 - Universal Data'!$E$14:$V$14, 0)))</f>
        <v>-</v>
      </c>
      <c r="F59" s="1113" t="str">
        <f>IF($A59&lt;DATE(2018,7,1),"-",INDEX('I1 - Universal Data'!$E$15:$V$15, MATCH(YEAR(EOMONTH($A59,6)), 'I1 - Universal Data'!$E$14:$V$14, 0)))</f>
        <v>-</v>
      </c>
      <c r="G59" s="1114">
        <f t="shared" si="5"/>
        <v>77</v>
      </c>
      <c r="H59" s="1114">
        <f t="shared" si="5"/>
        <v>182.5</v>
      </c>
      <c r="U59" s="1102"/>
    </row>
    <row r="60" spans="1:21">
      <c r="A60" s="1111">
        <f t="shared" si="2"/>
        <v>37925</v>
      </c>
      <c r="B60" s="1112">
        <f t="shared" si="0"/>
        <v>2004</v>
      </c>
      <c r="C60" s="1279">
        <v>77.099999999999994</v>
      </c>
      <c r="D60" s="1279">
        <v>182.6</v>
      </c>
      <c r="E60" s="1113" t="str">
        <f>IF($A60&lt;DATE(2018,7,1),"-",INDEX('I1 - Universal Data'!$E$16:$V$16, MATCH(YEAR(EOMONTH($A60,6)), 'I1 - Universal Data'!$E$14:$V$14, 0)))</f>
        <v>-</v>
      </c>
      <c r="F60" s="1113" t="str">
        <f>IF($A60&lt;DATE(2018,7,1),"-",INDEX('I1 - Universal Data'!$E$15:$V$15, MATCH(YEAR(EOMONTH($A60,6)), 'I1 - Universal Data'!$E$14:$V$14, 0)))</f>
        <v>-</v>
      </c>
      <c r="G60" s="1114">
        <f t="shared" si="5"/>
        <v>77.099999999999994</v>
      </c>
      <c r="H60" s="1114">
        <f t="shared" si="5"/>
        <v>182.6</v>
      </c>
      <c r="U60" s="1102"/>
    </row>
    <row r="61" spans="1:21">
      <c r="A61" s="1111">
        <f t="shared" si="2"/>
        <v>37955</v>
      </c>
      <c r="B61" s="1112">
        <f t="shared" si="0"/>
        <v>2004</v>
      </c>
      <c r="C61" s="1279">
        <v>77.099999999999994</v>
      </c>
      <c r="D61" s="1279">
        <v>182.7</v>
      </c>
      <c r="E61" s="1113" t="str">
        <f>IF($A61&lt;DATE(2018,7,1),"-",INDEX('I1 - Universal Data'!$E$16:$V$16, MATCH(YEAR(EOMONTH($A61,6)), 'I1 - Universal Data'!$E$14:$V$14, 0)))</f>
        <v>-</v>
      </c>
      <c r="F61" s="1113" t="str">
        <f>IF($A61&lt;DATE(2018,7,1),"-",INDEX('I1 - Universal Data'!$E$15:$V$15, MATCH(YEAR(EOMONTH($A61,6)), 'I1 - Universal Data'!$E$14:$V$14, 0)))</f>
        <v>-</v>
      </c>
      <c r="G61" s="1114">
        <f t="shared" si="5"/>
        <v>77.099999999999994</v>
      </c>
      <c r="H61" s="1114">
        <f t="shared" si="5"/>
        <v>182.7</v>
      </c>
      <c r="U61" s="1102"/>
    </row>
    <row r="62" spans="1:21">
      <c r="A62" s="1111">
        <f t="shared" si="2"/>
        <v>37986</v>
      </c>
      <c r="B62" s="1112">
        <f t="shared" si="0"/>
        <v>2004</v>
      </c>
      <c r="C62" s="1279">
        <v>77.3</v>
      </c>
      <c r="D62" s="1279">
        <v>183.5</v>
      </c>
      <c r="E62" s="1113" t="str">
        <f>IF($A62&lt;DATE(2018,7,1),"-",INDEX('I1 - Universal Data'!$E$16:$V$16, MATCH(YEAR(EOMONTH($A62,6)), 'I1 - Universal Data'!$E$14:$V$14, 0)))</f>
        <v>-</v>
      </c>
      <c r="F62" s="1113" t="str">
        <f>IF($A62&lt;DATE(2018,7,1),"-",INDEX('I1 - Universal Data'!$E$15:$V$15, MATCH(YEAR(EOMONTH($A62,6)), 'I1 - Universal Data'!$E$14:$V$14, 0)))</f>
        <v>-</v>
      </c>
      <c r="G62" s="1114">
        <f t="shared" si="5"/>
        <v>77.3</v>
      </c>
      <c r="H62" s="1114">
        <f t="shared" si="5"/>
        <v>183.5</v>
      </c>
      <c r="U62" s="1102"/>
    </row>
    <row r="63" spans="1:21">
      <c r="A63" s="1111">
        <f t="shared" si="2"/>
        <v>38017</v>
      </c>
      <c r="B63" s="1112">
        <f t="shared" si="0"/>
        <v>2004</v>
      </c>
      <c r="C63" s="1279">
        <v>77</v>
      </c>
      <c r="D63" s="1279">
        <v>183.1</v>
      </c>
      <c r="E63" s="1113" t="str">
        <f>IF($A63&lt;DATE(2018,7,1),"-",INDEX('I1 - Universal Data'!$E$16:$V$16, MATCH(YEAR(EOMONTH($A63,6)), 'I1 - Universal Data'!$E$14:$V$14, 0)))</f>
        <v>-</v>
      </c>
      <c r="F63" s="1113" t="str">
        <f>IF($A63&lt;DATE(2018,7,1),"-",INDEX('I1 - Universal Data'!$E$15:$V$15, MATCH(YEAR(EOMONTH($A63,6)), 'I1 - Universal Data'!$E$14:$V$14, 0)))</f>
        <v>-</v>
      </c>
      <c r="G63" s="1114">
        <f t="shared" si="5"/>
        <v>77</v>
      </c>
      <c r="H63" s="1114">
        <f t="shared" si="5"/>
        <v>183.1</v>
      </c>
      <c r="U63" s="1102"/>
    </row>
    <row r="64" spans="1:21">
      <c r="A64" s="1111">
        <f t="shared" si="2"/>
        <v>38046</v>
      </c>
      <c r="B64" s="1112">
        <f t="shared" si="0"/>
        <v>2004</v>
      </c>
      <c r="C64" s="1279">
        <v>77.2</v>
      </c>
      <c r="D64" s="1279">
        <v>183.8</v>
      </c>
      <c r="E64" s="1113" t="str">
        <f>IF($A64&lt;DATE(2018,7,1),"-",INDEX('I1 - Universal Data'!$E$16:$V$16, MATCH(YEAR(EOMONTH($A64,6)), 'I1 - Universal Data'!$E$14:$V$14, 0)))</f>
        <v>-</v>
      </c>
      <c r="F64" s="1113" t="str">
        <f>IF($A64&lt;DATE(2018,7,1),"-",INDEX('I1 - Universal Data'!$E$15:$V$15, MATCH(YEAR(EOMONTH($A64,6)), 'I1 - Universal Data'!$E$14:$V$14, 0)))</f>
        <v>-</v>
      </c>
      <c r="G64" s="1114">
        <f t="shared" si="5"/>
        <v>77.2</v>
      </c>
      <c r="H64" s="1114">
        <f t="shared" si="5"/>
        <v>183.8</v>
      </c>
      <c r="U64" s="1102"/>
    </row>
    <row r="65" spans="1:21">
      <c r="A65" s="1111">
        <f t="shared" si="2"/>
        <v>38077</v>
      </c>
      <c r="B65" s="1112">
        <f t="shared" si="0"/>
        <v>2004</v>
      </c>
      <c r="C65" s="1279">
        <v>77.3</v>
      </c>
      <c r="D65" s="1279">
        <v>184.6</v>
      </c>
      <c r="E65" s="1113" t="str">
        <f>IF($A65&lt;DATE(2018,7,1),"-",INDEX('I1 - Universal Data'!$E$16:$V$16, MATCH(YEAR(EOMONTH($A65,6)), 'I1 - Universal Data'!$E$14:$V$14, 0)))</f>
        <v>-</v>
      </c>
      <c r="F65" s="1113" t="str">
        <f>IF($A65&lt;DATE(2018,7,1),"-",INDEX('I1 - Universal Data'!$E$15:$V$15, MATCH(YEAR(EOMONTH($A65,6)), 'I1 - Universal Data'!$E$14:$V$14, 0)))</f>
        <v>-</v>
      </c>
      <c r="G65" s="1114">
        <f t="shared" si="5"/>
        <v>77.3</v>
      </c>
      <c r="H65" s="1114">
        <f t="shared" si="5"/>
        <v>184.6</v>
      </c>
      <c r="U65" s="1102"/>
    </row>
    <row r="66" spans="1:21">
      <c r="A66" s="1111">
        <f t="shared" si="2"/>
        <v>38107</v>
      </c>
      <c r="B66" s="1112">
        <f t="shared" si="0"/>
        <v>2005</v>
      </c>
      <c r="C66" s="1279">
        <v>77.599999999999994</v>
      </c>
      <c r="D66" s="1279">
        <v>185.7</v>
      </c>
      <c r="E66" s="1113" t="str">
        <f>IF($A66&lt;DATE(2018,7,1),"-",INDEX('I1 - Universal Data'!$E$16:$V$16, MATCH(YEAR(EOMONTH($A66,6)), 'I1 - Universal Data'!$E$14:$V$14, 0)))</f>
        <v>-</v>
      </c>
      <c r="F66" s="1113" t="str">
        <f>IF($A66&lt;DATE(2018,7,1),"-",INDEX('I1 - Universal Data'!$E$15:$V$15, MATCH(YEAR(EOMONTH($A66,6)), 'I1 - Universal Data'!$E$14:$V$14, 0)))</f>
        <v>-</v>
      </c>
      <c r="G66" s="1114">
        <f t="shared" si="5"/>
        <v>77.599999999999994</v>
      </c>
      <c r="H66" s="1114">
        <f t="shared" si="5"/>
        <v>185.7</v>
      </c>
      <c r="U66" s="1102"/>
    </row>
    <row r="67" spans="1:21">
      <c r="A67" s="1111">
        <f t="shared" si="2"/>
        <v>38138</v>
      </c>
      <c r="B67" s="1112">
        <f t="shared" si="0"/>
        <v>2005</v>
      </c>
      <c r="C67" s="1279">
        <v>77.900000000000006</v>
      </c>
      <c r="D67" s="1279">
        <v>186.5</v>
      </c>
      <c r="E67" s="1113" t="str">
        <f>IF($A67&lt;DATE(2018,7,1),"-",INDEX('I1 - Universal Data'!$E$16:$V$16, MATCH(YEAR(EOMONTH($A67,6)), 'I1 - Universal Data'!$E$14:$V$14, 0)))</f>
        <v>-</v>
      </c>
      <c r="F67" s="1113" t="str">
        <f>IF($A67&lt;DATE(2018,7,1),"-",INDEX('I1 - Universal Data'!$E$15:$V$15, MATCH(YEAR(EOMONTH($A67,6)), 'I1 - Universal Data'!$E$14:$V$14, 0)))</f>
        <v>-</v>
      </c>
      <c r="G67" s="1114">
        <f t="shared" si="5"/>
        <v>77.900000000000006</v>
      </c>
      <c r="H67" s="1114">
        <f t="shared" si="5"/>
        <v>186.5</v>
      </c>
      <c r="U67" s="1102"/>
    </row>
    <row r="68" spans="1:21">
      <c r="A68" s="1111">
        <f t="shared" si="2"/>
        <v>38168</v>
      </c>
      <c r="B68" s="1112">
        <f t="shared" si="0"/>
        <v>2005</v>
      </c>
      <c r="C68" s="1279">
        <v>77.900000000000006</v>
      </c>
      <c r="D68" s="1279">
        <v>186.8</v>
      </c>
      <c r="E68" s="1113" t="str">
        <f>IF($A68&lt;DATE(2018,7,1),"-",INDEX('I1 - Universal Data'!$E$16:$V$16, MATCH(YEAR(EOMONTH($A68,6)), 'I1 - Universal Data'!$E$14:$V$14, 0)))</f>
        <v>-</v>
      </c>
      <c r="F68" s="1113" t="str">
        <f>IF($A68&lt;DATE(2018,7,1),"-",INDEX('I1 - Universal Data'!$E$15:$V$15, MATCH(YEAR(EOMONTH($A68,6)), 'I1 - Universal Data'!$E$14:$V$14, 0)))</f>
        <v>-</v>
      </c>
      <c r="G68" s="1114">
        <f t="shared" si="5"/>
        <v>77.900000000000006</v>
      </c>
      <c r="H68" s="1114">
        <f t="shared" si="5"/>
        <v>186.8</v>
      </c>
      <c r="U68" s="1102"/>
    </row>
    <row r="69" spans="1:21">
      <c r="A69" s="1111">
        <f t="shared" si="2"/>
        <v>38199</v>
      </c>
      <c r="B69" s="1112">
        <f t="shared" si="0"/>
        <v>2005</v>
      </c>
      <c r="C69" s="1279">
        <v>77.7</v>
      </c>
      <c r="D69" s="1279">
        <v>186.8</v>
      </c>
      <c r="E69" s="1113" t="str">
        <f>IF($A69&lt;DATE(2018,7,1),"-",INDEX('I1 - Universal Data'!$E$16:$V$16, MATCH(YEAR(EOMONTH($A69,6)), 'I1 - Universal Data'!$E$14:$V$14, 0)))</f>
        <v>-</v>
      </c>
      <c r="F69" s="1113" t="str">
        <f>IF($A69&lt;DATE(2018,7,1),"-",INDEX('I1 - Universal Data'!$E$15:$V$15, MATCH(YEAR(EOMONTH($A69,6)), 'I1 - Universal Data'!$E$14:$V$14, 0)))</f>
        <v>-</v>
      </c>
      <c r="G69" s="1114">
        <f t="shared" si="5"/>
        <v>77.7</v>
      </c>
      <c r="H69" s="1114">
        <f t="shared" si="5"/>
        <v>186.8</v>
      </c>
      <c r="U69" s="1102"/>
    </row>
    <row r="70" spans="1:21">
      <c r="A70" s="1111">
        <f t="shared" si="2"/>
        <v>38230</v>
      </c>
      <c r="B70" s="1112">
        <f t="shared" ref="B70:B133" si="6">IF(MONTH(A70)&gt;=4,YEAR(A70)+1,YEAR(A70))</f>
        <v>2005</v>
      </c>
      <c r="C70" s="1279">
        <v>77.900000000000006</v>
      </c>
      <c r="D70" s="1279">
        <v>187.4</v>
      </c>
      <c r="E70" s="1113" t="str">
        <f>IF($A70&lt;DATE(2018,7,1),"-",INDEX('I1 - Universal Data'!$E$16:$V$16, MATCH(YEAR(EOMONTH($A70,6)), 'I1 - Universal Data'!$E$14:$V$14, 0)))</f>
        <v>-</v>
      </c>
      <c r="F70" s="1113" t="str">
        <f>IF($A70&lt;DATE(2018,7,1),"-",INDEX('I1 - Universal Data'!$E$15:$V$15, MATCH(YEAR(EOMONTH($A70,6)), 'I1 - Universal Data'!$E$14:$V$14, 0)))</f>
        <v>-</v>
      </c>
      <c r="G70" s="1114">
        <f t="shared" ref="G70:H85" si="7">IF(ISBLANK(C70),G69*((1+E70)^(1/12)),C70)</f>
        <v>77.900000000000006</v>
      </c>
      <c r="H70" s="1114">
        <f t="shared" si="7"/>
        <v>187.4</v>
      </c>
      <c r="U70" s="1102"/>
    </row>
    <row r="71" spans="1:21">
      <c r="A71" s="1111">
        <f t="shared" ref="A71:A134" si="8">IF(MONTH(A70) = 12, EOMONTH(DATE(YEAR(A70) + 1, 1, 1), 0), EOMONTH(DATE(YEAR(A70), MONTH(A70) + 1, 1), 0))</f>
        <v>38260</v>
      </c>
      <c r="B71" s="1112">
        <f t="shared" si="6"/>
        <v>2005</v>
      </c>
      <c r="C71" s="1279">
        <v>77.900000000000006</v>
      </c>
      <c r="D71" s="1279">
        <v>188.1</v>
      </c>
      <c r="E71" s="1113" t="str">
        <f>IF($A71&lt;DATE(2018,7,1),"-",INDEX('I1 - Universal Data'!$E$16:$V$16, MATCH(YEAR(EOMONTH($A71,6)), 'I1 - Universal Data'!$E$14:$V$14, 0)))</f>
        <v>-</v>
      </c>
      <c r="F71" s="1113" t="str">
        <f>IF($A71&lt;DATE(2018,7,1),"-",INDEX('I1 - Universal Data'!$E$15:$V$15, MATCH(YEAR(EOMONTH($A71,6)), 'I1 - Universal Data'!$E$14:$V$14, 0)))</f>
        <v>-</v>
      </c>
      <c r="G71" s="1114">
        <f t="shared" si="7"/>
        <v>77.900000000000006</v>
      </c>
      <c r="H71" s="1114">
        <f t="shared" si="7"/>
        <v>188.1</v>
      </c>
      <c r="U71" s="1102"/>
    </row>
    <row r="72" spans="1:21">
      <c r="A72" s="1111">
        <f t="shared" si="8"/>
        <v>38291</v>
      </c>
      <c r="B72" s="1112">
        <f t="shared" si="6"/>
        <v>2005</v>
      </c>
      <c r="C72" s="1279">
        <v>78.099999999999994</v>
      </c>
      <c r="D72" s="1279">
        <v>188.6</v>
      </c>
      <c r="E72" s="1113" t="str">
        <f>IF($A72&lt;DATE(2018,7,1),"-",INDEX('I1 - Universal Data'!$E$16:$V$16, MATCH(YEAR(EOMONTH($A72,6)), 'I1 - Universal Data'!$E$14:$V$14, 0)))</f>
        <v>-</v>
      </c>
      <c r="F72" s="1113" t="str">
        <f>IF($A72&lt;DATE(2018,7,1),"-",INDEX('I1 - Universal Data'!$E$15:$V$15, MATCH(YEAR(EOMONTH($A72,6)), 'I1 - Universal Data'!$E$14:$V$14, 0)))</f>
        <v>-</v>
      </c>
      <c r="G72" s="1114">
        <f t="shared" si="7"/>
        <v>78.099999999999994</v>
      </c>
      <c r="H72" s="1114">
        <f t="shared" si="7"/>
        <v>188.6</v>
      </c>
      <c r="U72" s="1102"/>
    </row>
    <row r="73" spans="1:21">
      <c r="A73" s="1111">
        <f t="shared" si="8"/>
        <v>38321</v>
      </c>
      <c r="B73" s="1112">
        <f t="shared" si="6"/>
        <v>2005</v>
      </c>
      <c r="C73" s="1279">
        <v>78.3</v>
      </c>
      <c r="D73" s="1279">
        <v>189</v>
      </c>
      <c r="E73" s="1113" t="str">
        <f>IF($A73&lt;DATE(2018,7,1),"-",INDEX('I1 - Universal Data'!$E$16:$V$16, MATCH(YEAR(EOMONTH($A73,6)), 'I1 - Universal Data'!$E$14:$V$14, 0)))</f>
        <v>-</v>
      </c>
      <c r="F73" s="1113" t="str">
        <f>IF($A73&lt;DATE(2018,7,1),"-",INDEX('I1 - Universal Data'!$E$15:$V$15, MATCH(YEAR(EOMONTH($A73,6)), 'I1 - Universal Data'!$E$14:$V$14, 0)))</f>
        <v>-</v>
      </c>
      <c r="G73" s="1114">
        <f t="shared" si="7"/>
        <v>78.3</v>
      </c>
      <c r="H73" s="1114">
        <f t="shared" si="7"/>
        <v>189</v>
      </c>
      <c r="U73" s="1102"/>
    </row>
    <row r="74" spans="1:21">
      <c r="A74" s="1111">
        <f t="shared" si="8"/>
        <v>38352</v>
      </c>
      <c r="B74" s="1112">
        <f t="shared" si="6"/>
        <v>2005</v>
      </c>
      <c r="C74" s="1279">
        <v>78.599999999999994</v>
      </c>
      <c r="D74" s="1279">
        <v>189.9</v>
      </c>
      <c r="E74" s="1113" t="str">
        <f>IF($A74&lt;DATE(2018,7,1),"-",INDEX('I1 - Universal Data'!$E$16:$V$16, MATCH(YEAR(EOMONTH($A74,6)), 'I1 - Universal Data'!$E$14:$V$14, 0)))</f>
        <v>-</v>
      </c>
      <c r="F74" s="1113" t="str">
        <f>IF($A74&lt;DATE(2018,7,1),"-",INDEX('I1 - Universal Data'!$E$15:$V$15, MATCH(YEAR(EOMONTH($A74,6)), 'I1 - Universal Data'!$E$14:$V$14, 0)))</f>
        <v>-</v>
      </c>
      <c r="G74" s="1114">
        <f t="shared" si="7"/>
        <v>78.599999999999994</v>
      </c>
      <c r="H74" s="1114">
        <f t="shared" si="7"/>
        <v>189.9</v>
      </c>
      <c r="U74" s="1102"/>
    </row>
    <row r="75" spans="1:21">
      <c r="A75" s="1111">
        <f t="shared" si="8"/>
        <v>38383</v>
      </c>
      <c r="B75" s="1112">
        <f t="shared" si="6"/>
        <v>2005</v>
      </c>
      <c r="C75" s="1279">
        <v>78.3</v>
      </c>
      <c r="D75" s="1279">
        <v>188.9</v>
      </c>
      <c r="E75" s="1113" t="str">
        <f>IF($A75&lt;DATE(2018,7,1),"-",INDEX('I1 - Universal Data'!$E$16:$V$16, MATCH(YEAR(EOMONTH($A75,6)), 'I1 - Universal Data'!$E$14:$V$14, 0)))</f>
        <v>-</v>
      </c>
      <c r="F75" s="1113" t="str">
        <f>IF($A75&lt;DATE(2018,7,1),"-",INDEX('I1 - Universal Data'!$E$15:$V$15, MATCH(YEAR(EOMONTH($A75,6)), 'I1 - Universal Data'!$E$14:$V$14, 0)))</f>
        <v>-</v>
      </c>
      <c r="G75" s="1114">
        <f t="shared" si="7"/>
        <v>78.3</v>
      </c>
      <c r="H75" s="1114">
        <f t="shared" si="7"/>
        <v>188.9</v>
      </c>
      <c r="U75" s="1102"/>
    </row>
    <row r="76" spans="1:21">
      <c r="A76" s="1111">
        <f t="shared" si="8"/>
        <v>38411</v>
      </c>
      <c r="B76" s="1112">
        <f t="shared" si="6"/>
        <v>2005</v>
      </c>
      <c r="C76" s="1279">
        <v>78.5</v>
      </c>
      <c r="D76" s="1279">
        <v>189.6</v>
      </c>
      <c r="E76" s="1113" t="str">
        <f>IF($A76&lt;DATE(2018,7,1),"-",INDEX('I1 - Universal Data'!$E$16:$V$16, MATCH(YEAR(EOMONTH($A76,6)), 'I1 - Universal Data'!$E$14:$V$14, 0)))</f>
        <v>-</v>
      </c>
      <c r="F76" s="1113" t="str">
        <f>IF($A76&lt;DATE(2018,7,1),"-",INDEX('I1 - Universal Data'!$E$15:$V$15, MATCH(YEAR(EOMONTH($A76,6)), 'I1 - Universal Data'!$E$14:$V$14, 0)))</f>
        <v>-</v>
      </c>
      <c r="G76" s="1114">
        <f t="shared" si="7"/>
        <v>78.5</v>
      </c>
      <c r="H76" s="1114">
        <f t="shared" si="7"/>
        <v>189.6</v>
      </c>
      <c r="U76" s="1102"/>
    </row>
    <row r="77" spans="1:21">
      <c r="A77" s="1111">
        <f t="shared" si="8"/>
        <v>38442</v>
      </c>
      <c r="B77" s="1112">
        <f t="shared" si="6"/>
        <v>2005</v>
      </c>
      <c r="C77" s="1279">
        <v>78.8</v>
      </c>
      <c r="D77" s="1279">
        <v>190.5</v>
      </c>
      <c r="E77" s="1113" t="str">
        <f>IF($A77&lt;DATE(2018,7,1),"-",INDEX('I1 - Universal Data'!$E$16:$V$16, MATCH(YEAR(EOMONTH($A77,6)), 'I1 - Universal Data'!$E$14:$V$14, 0)))</f>
        <v>-</v>
      </c>
      <c r="F77" s="1113" t="str">
        <f>IF($A77&lt;DATE(2018,7,1),"-",INDEX('I1 - Universal Data'!$E$15:$V$15, MATCH(YEAR(EOMONTH($A77,6)), 'I1 - Universal Data'!$E$14:$V$14, 0)))</f>
        <v>-</v>
      </c>
      <c r="G77" s="1114">
        <f t="shared" si="7"/>
        <v>78.8</v>
      </c>
      <c r="H77" s="1114">
        <f t="shared" si="7"/>
        <v>190.5</v>
      </c>
      <c r="U77" s="1102"/>
    </row>
    <row r="78" spans="1:21">
      <c r="A78" s="1111">
        <f t="shared" si="8"/>
        <v>38472</v>
      </c>
      <c r="B78" s="1112">
        <f t="shared" si="6"/>
        <v>2006</v>
      </c>
      <c r="C78" s="1279">
        <v>79.099999999999994</v>
      </c>
      <c r="D78" s="1279">
        <v>191.6</v>
      </c>
      <c r="E78" s="1113" t="str">
        <f>IF($A78&lt;DATE(2018,7,1),"-",INDEX('I1 - Universal Data'!$E$16:$V$16, MATCH(YEAR(EOMONTH($A78,6)), 'I1 - Universal Data'!$E$14:$V$14, 0)))</f>
        <v>-</v>
      </c>
      <c r="F78" s="1113" t="str">
        <f>IF($A78&lt;DATE(2018,7,1),"-",INDEX('I1 - Universal Data'!$E$15:$V$15, MATCH(YEAR(EOMONTH($A78,6)), 'I1 - Universal Data'!$E$14:$V$14, 0)))</f>
        <v>-</v>
      </c>
      <c r="G78" s="1114">
        <f t="shared" si="7"/>
        <v>79.099999999999994</v>
      </c>
      <c r="H78" s="1114">
        <f t="shared" si="7"/>
        <v>191.6</v>
      </c>
      <c r="U78" s="1102"/>
    </row>
    <row r="79" spans="1:21">
      <c r="A79" s="1111">
        <f t="shared" si="8"/>
        <v>38503</v>
      </c>
      <c r="B79" s="1112">
        <f t="shared" si="6"/>
        <v>2006</v>
      </c>
      <c r="C79" s="1279">
        <v>79.400000000000006</v>
      </c>
      <c r="D79" s="1279">
        <v>192</v>
      </c>
      <c r="E79" s="1113" t="str">
        <f>IF($A79&lt;DATE(2018,7,1),"-",INDEX('I1 - Universal Data'!$E$16:$V$16, MATCH(YEAR(EOMONTH($A79,6)), 'I1 - Universal Data'!$E$14:$V$14, 0)))</f>
        <v>-</v>
      </c>
      <c r="F79" s="1113" t="str">
        <f>IF($A79&lt;DATE(2018,7,1),"-",INDEX('I1 - Universal Data'!$E$15:$V$15, MATCH(YEAR(EOMONTH($A79,6)), 'I1 - Universal Data'!$E$14:$V$14, 0)))</f>
        <v>-</v>
      </c>
      <c r="G79" s="1114">
        <f t="shared" si="7"/>
        <v>79.400000000000006</v>
      </c>
      <c r="H79" s="1114">
        <f t="shared" si="7"/>
        <v>192</v>
      </c>
      <c r="U79" s="1102"/>
    </row>
    <row r="80" spans="1:21">
      <c r="A80" s="1111">
        <f t="shared" si="8"/>
        <v>38533</v>
      </c>
      <c r="B80" s="1112">
        <f t="shared" si="6"/>
        <v>2006</v>
      </c>
      <c r="C80" s="1279">
        <v>79.400000000000006</v>
      </c>
      <c r="D80" s="1279">
        <v>192.2</v>
      </c>
      <c r="E80" s="1113" t="str">
        <f>IF($A80&lt;DATE(2018,7,1),"-",INDEX('I1 - Universal Data'!$E$16:$V$16, MATCH(YEAR(EOMONTH($A80,6)), 'I1 - Universal Data'!$E$14:$V$14, 0)))</f>
        <v>-</v>
      </c>
      <c r="F80" s="1113" t="str">
        <f>IF($A80&lt;DATE(2018,7,1),"-",INDEX('I1 - Universal Data'!$E$15:$V$15, MATCH(YEAR(EOMONTH($A80,6)), 'I1 - Universal Data'!$E$14:$V$14, 0)))</f>
        <v>-</v>
      </c>
      <c r="G80" s="1114">
        <f t="shared" si="7"/>
        <v>79.400000000000006</v>
      </c>
      <c r="H80" s="1114">
        <f t="shared" si="7"/>
        <v>192.2</v>
      </c>
      <c r="U80" s="1102"/>
    </row>
    <row r="81" spans="1:21">
      <c r="A81" s="1111">
        <f t="shared" si="8"/>
        <v>38564</v>
      </c>
      <c r="B81" s="1112">
        <f t="shared" si="6"/>
        <v>2006</v>
      </c>
      <c r="C81" s="1279">
        <v>79.5</v>
      </c>
      <c r="D81" s="1279">
        <v>192.2</v>
      </c>
      <c r="E81" s="1113" t="str">
        <f>IF($A81&lt;DATE(2018,7,1),"-",INDEX('I1 - Universal Data'!$E$16:$V$16, MATCH(YEAR(EOMONTH($A81,6)), 'I1 - Universal Data'!$E$14:$V$14, 0)))</f>
        <v>-</v>
      </c>
      <c r="F81" s="1113" t="str">
        <f>IF($A81&lt;DATE(2018,7,1),"-",INDEX('I1 - Universal Data'!$E$15:$V$15, MATCH(YEAR(EOMONTH($A81,6)), 'I1 - Universal Data'!$E$14:$V$14, 0)))</f>
        <v>-</v>
      </c>
      <c r="G81" s="1114">
        <f t="shared" si="7"/>
        <v>79.5</v>
      </c>
      <c r="H81" s="1114">
        <f t="shared" si="7"/>
        <v>192.2</v>
      </c>
      <c r="U81" s="1102"/>
    </row>
    <row r="82" spans="1:21">
      <c r="A82" s="1111">
        <f t="shared" si="8"/>
        <v>38595</v>
      </c>
      <c r="B82" s="1112">
        <f t="shared" si="6"/>
        <v>2006</v>
      </c>
      <c r="C82" s="1279">
        <v>79.7</v>
      </c>
      <c r="D82" s="1279">
        <v>192.6</v>
      </c>
      <c r="E82" s="1113" t="str">
        <f>IF($A82&lt;DATE(2018,7,1),"-",INDEX('I1 - Universal Data'!$E$16:$V$16, MATCH(YEAR(EOMONTH($A82,6)), 'I1 - Universal Data'!$E$14:$V$14, 0)))</f>
        <v>-</v>
      </c>
      <c r="F82" s="1113" t="str">
        <f>IF($A82&lt;DATE(2018,7,1),"-",INDEX('I1 - Universal Data'!$E$15:$V$15, MATCH(YEAR(EOMONTH($A82,6)), 'I1 - Universal Data'!$E$14:$V$14, 0)))</f>
        <v>-</v>
      </c>
      <c r="G82" s="1114">
        <f t="shared" si="7"/>
        <v>79.7</v>
      </c>
      <c r="H82" s="1114">
        <f t="shared" si="7"/>
        <v>192.6</v>
      </c>
      <c r="U82" s="1102"/>
    </row>
    <row r="83" spans="1:21">
      <c r="A83" s="1111">
        <f t="shared" si="8"/>
        <v>38625</v>
      </c>
      <c r="B83" s="1112">
        <f t="shared" si="6"/>
        <v>2006</v>
      </c>
      <c r="C83" s="1279">
        <v>79.900000000000006</v>
      </c>
      <c r="D83" s="1279">
        <v>193.1</v>
      </c>
      <c r="E83" s="1113" t="str">
        <f>IF($A83&lt;DATE(2018,7,1),"-",INDEX('I1 - Universal Data'!$E$16:$V$16, MATCH(YEAR(EOMONTH($A83,6)), 'I1 - Universal Data'!$E$14:$V$14, 0)))</f>
        <v>-</v>
      </c>
      <c r="F83" s="1113" t="str">
        <f>IF($A83&lt;DATE(2018,7,1),"-",INDEX('I1 - Universal Data'!$E$15:$V$15, MATCH(YEAR(EOMONTH($A83,6)), 'I1 - Universal Data'!$E$14:$V$14, 0)))</f>
        <v>-</v>
      </c>
      <c r="G83" s="1114">
        <f t="shared" si="7"/>
        <v>79.900000000000006</v>
      </c>
      <c r="H83" s="1114">
        <f t="shared" si="7"/>
        <v>193.1</v>
      </c>
      <c r="U83" s="1102"/>
    </row>
    <row r="84" spans="1:21">
      <c r="A84" s="1111">
        <f t="shared" si="8"/>
        <v>38656</v>
      </c>
      <c r="B84" s="1112">
        <f t="shared" si="6"/>
        <v>2006</v>
      </c>
      <c r="C84" s="1279">
        <v>80</v>
      </c>
      <c r="D84" s="1279">
        <v>193.3</v>
      </c>
      <c r="E84" s="1113" t="str">
        <f>IF($A84&lt;DATE(2018,7,1),"-",INDEX('I1 - Universal Data'!$E$16:$V$16, MATCH(YEAR(EOMONTH($A84,6)), 'I1 - Universal Data'!$E$14:$V$14, 0)))</f>
        <v>-</v>
      </c>
      <c r="F84" s="1113" t="str">
        <f>IF($A84&lt;DATE(2018,7,1),"-",INDEX('I1 - Universal Data'!$E$15:$V$15, MATCH(YEAR(EOMONTH($A84,6)), 'I1 - Universal Data'!$E$14:$V$14, 0)))</f>
        <v>-</v>
      </c>
      <c r="G84" s="1114">
        <f t="shared" si="7"/>
        <v>80</v>
      </c>
      <c r="H84" s="1114">
        <f t="shared" si="7"/>
        <v>193.3</v>
      </c>
      <c r="U84" s="1102"/>
    </row>
    <row r="85" spans="1:21">
      <c r="A85" s="1111">
        <f t="shared" si="8"/>
        <v>38686</v>
      </c>
      <c r="B85" s="1112">
        <f t="shared" si="6"/>
        <v>2006</v>
      </c>
      <c r="C85" s="1279">
        <v>80</v>
      </c>
      <c r="D85" s="1279">
        <v>193.6</v>
      </c>
      <c r="E85" s="1113" t="str">
        <f>IF($A85&lt;DATE(2018,7,1),"-",INDEX('I1 - Universal Data'!$E$16:$V$16, MATCH(YEAR(EOMONTH($A85,6)), 'I1 - Universal Data'!$E$14:$V$14, 0)))</f>
        <v>-</v>
      </c>
      <c r="F85" s="1113" t="str">
        <f>IF($A85&lt;DATE(2018,7,1),"-",INDEX('I1 - Universal Data'!$E$15:$V$15, MATCH(YEAR(EOMONTH($A85,6)), 'I1 - Universal Data'!$E$14:$V$14, 0)))</f>
        <v>-</v>
      </c>
      <c r="G85" s="1114">
        <f t="shared" si="7"/>
        <v>80</v>
      </c>
      <c r="H85" s="1114">
        <f t="shared" si="7"/>
        <v>193.6</v>
      </c>
      <c r="U85" s="1102"/>
    </row>
    <row r="86" spans="1:21">
      <c r="A86" s="1111">
        <f t="shared" si="8"/>
        <v>38717</v>
      </c>
      <c r="B86" s="1112">
        <f t="shared" si="6"/>
        <v>2006</v>
      </c>
      <c r="C86" s="1279">
        <v>80.3</v>
      </c>
      <c r="D86" s="1279">
        <v>194.1</v>
      </c>
      <c r="E86" s="1113" t="str">
        <f>IF($A86&lt;DATE(2018,7,1),"-",INDEX('I1 - Universal Data'!$E$16:$V$16, MATCH(YEAR(EOMONTH($A86,6)), 'I1 - Universal Data'!$E$14:$V$14, 0)))</f>
        <v>-</v>
      </c>
      <c r="F86" s="1113" t="str">
        <f>IF($A86&lt;DATE(2018,7,1),"-",INDEX('I1 - Universal Data'!$E$15:$V$15, MATCH(YEAR(EOMONTH($A86,6)), 'I1 - Universal Data'!$E$14:$V$14, 0)))</f>
        <v>-</v>
      </c>
      <c r="G86" s="1114">
        <f t="shared" ref="G86:H101" si="9">IF(ISBLANK(C86),G85*((1+E86)^(1/12)),C86)</f>
        <v>80.3</v>
      </c>
      <c r="H86" s="1114">
        <f t="shared" si="9"/>
        <v>194.1</v>
      </c>
      <c r="U86" s="1102"/>
    </row>
    <row r="87" spans="1:21">
      <c r="A87" s="1111">
        <f t="shared" si="8"/>
        <v>38748</v>
      </c>
      <c r="B87" s="1112">
        <f t="shared" si="6"/>
        <v>2006</v>
      </c>
      <c r="C87" s="1279">
        <v>80</v>
      </c>
      <c r="D87" s="1279">
        <v>193.4</v>
      </c>
      <c r="E87" s="1113" t="str">
        <f>IF($A87&lt;DATE(2018,7,1),"-",INDEX('I1 - Universal Data'!$E$16:$V$16, MATCH(YEAR(EOMONTH($A87,6)), 'I1 - Universal Data'!$E$14:$V$14, 0)))</f>
        <v>-</v>
      </c>
      <c r="F87" s="1113" t="str">
        <f>IF($A87&lt;DATE(2018,7,1),"-",INDEX('I1 - Universal Data'!$E$15:$V$15, MATCH(YEAR(EOMONTH($A87,6)), 'I1 - Universal Data'!$E$14:$V$14, 0)))</f>
        <v>-</v>
      </c>
      <c r="G87" s="1114">
        <f t="shared" si="9"/>
        <v>80</v>
      </c>
      <c r="H87" s="1114">
        <f t="shared" si="9"/>
        <v>193.4</v>
      </c>
      <c r="U87" s="1102"/>
    </row>
    <row r="88" spans="1:21">
      <c r="A88" s="1111">
        <f t="shared" si="8"/>
        <v>38776</v>
      </c>
      <c r="B88" s="1112">
        <f t="shared" si="6"/>
        <v>2006</v>
      </c>
      <c r="C88" s="1279">
        <v>80.2</v>
      </c>
      <c r="D88" s="1279">
        <v>194.2</v>
      </c>
      <c r="E88" s="1113" t="str">
        <f>IF($A88&lt;DATE(2018,7,1),"-",INDEX('I1 - Universal Data'!$E$16:$V$16, MATCH(YEAR(EOMONTH($A88,6)), 'I1 - Universal Data'!$E$14:$V$14, 0)))</f>
        <v>-</v>
      </c>
      <c r="F88" s="1113" t="str">
        <f>IF($A88&lt;DATE(2018,7,1),"-",INDEX('I1 - Universal Data'!$E$15:$V$15, MATCH(YEAR(EOMONTH($A88,6)), 'I1 - Universal Data'!$E$14:$V$14, 0)))</f>
        <v>-</v>
      </c>
      <c r="G88" s="1114">
        <f t="shared" si="9"/>
        <v>80.2</v>
      </c>
      <c r="H88" s="1114">
        <f t="shared" si="9"/>
        <v>194.2</v>
      </c>
      <c r="U88" s="1102"/>
    </row>
    <row r="89" spans="1:21">
      <c r="A89" s="1111">
        <f t="shared" si="8"/>
        <v>38807</v>
      </c>
      <c r="B89" s="1112">
        <f t="shared" si="6"/>
        <v>2006</v>
      </c>
      <c r="C89" s="1279">
        <v>80.400000000000006</v>
      </c>
      <c r="D89" s="1279">
        <v>195</v>
      </c>
      <c r="E89" s="1113" t="str">
        <f>IF($A89&lt;DATE(2018,7,1),"-",INDEX('I1 - Universal Data'!$E$16:$V$16, MATCH(YEAR(EOMONTH($A89,6)), 'I1 - Universal Data'!$E$14:$V$14, 0)))</f>
        <v>-</v>
      </c>
      <c r="F89" s="1113" t="str">
        <f>IF($A89&lt;DATE(2018,7,1),"-",INDEX('I1 - Universal Data'!$E$15:$V$15, MATCH(YEAR(EOMONTH($A89,6)), 'I1 - Universal Data'!$E$14:$V$14, 0)))</f>
        <v>-</v>
      </c>
      <c r="G89" s="1114">
        <f t="shared" si="9"/>
        <v>80.400000000000006</v>
      </c>
      <c r="H89" s="1114">
        <f t="shared" si="9"/>
        <v>195</v>
      </c>
      <c r="U89" s="1102"/>
    </row>
    <row r="90" spans="1:21">
      <c r="A90" s="1111">
        <f t="shared" si="8"/>
        <v>38837</v>
      </c>
      <c r="B90" s="1112">
        <f t="shared" si="6"/>
        <v>2007</v>
      </c>
      <c r="C90" s="1279">
        <v>80.900000000000006</v>
      </c>
      <c r="D90" s="1279">
        <v>196.5</v>
      </c>
      <c r="E90" s="1113" t="str">
        <f>IF($A90&lt;DATE(2018,7,1),"-",INDEX('I1 - Universal Data'!$E$16:$V$16, MATCH(YEAR(EOMONTH($A90,6)), 'I1 - Universal Data'!$E$14:$V$14, 0)))</f>
        <v>-</v>
      </c>
      <c r="F90" s="1113" t="str">
        <f>IF($A90&lt;DATE(2018,7,1),"-",INDEX('I1 - Universal Data'!$E$15:$V$15, MATCH(YEAR(EOMONTH($A90,6)), 'I1 - Universal Data'!$E$14:$V$14, 0)))</f>
        <v>-</v>
      </c>
      <c r="G90" s="1114">
        <f t="shared" si="9"/>
        <v>80.900000000000006</v>
      </c>
      <c r="H90" s="1114">
        <f t="shared" si="9"/>
        <v>196.5</v>
      </c>
      <c r="U90" s="1102"/>
    </row>
    <row r="91" spans="1:21">
      <c r="A91" s="1111">
        <f t="shared" si="8"/>
        <v>38868</v>
      </c>
      <c r="B91" s="1112">
        <f t="shared" si="6"/>
        <v>2007</v>
      </c>
      <c r="C91" s="1279">
        <v>81.3</v>
      </c>
      <c r="D91" s="1279">
        <v>197.7</v>
      </c>
      <c r="E91" s="1113" t="str">
        <f>IF($A91&lt;DATE(2018,7,1),"-",INDEX('I1 - Universal Data'!$E$16:$V$16, MATCH(YEAR(EOMONTH($A91,6)), 'I1 - Universal Data'!$E$14:$V$14, 0)))</f>
        <v>-</v>
      </c>
      <c r="F91" s="1113" t="str">
        <f>IF($A91&lt;DATE(2018,7,1),"-",INDEX('I1 - Universal Data'!$E$15:$V$15, MATCH(YEAR(EOMONTH($A91,6)), 'I1 - Universal Data'!$E$14:$V$14, 0)))</f>
        <v>-</v>
      </c>
      <c r="G91" s="1114">
        <f t="shared" si="9"/>
        <v>81.3</v>
      </c>
      <c r="H91" s="1114">
        <f t="shared" si="9"/>
        <v>197.7</v>
      </c>
      <c r="U91" s="1102"/>
    </row>
    <row r="92" spans="1:21">
      <c r="A92" s="1111">
        <f t="shared" si="8"/>
        <v>38898</v>
      </c>
      <c r="B92" s="1112">
        <f t="shared" si="6"/>
        <v>2007</v>
      </c>
      <c r="C92" s="1279">
        <v>81.5</v>
      </c>
      <c r="D92" s="1279">
        <v>198.5</v>
      </c>
      <c r="E92" s="1113" t="str">
        <f>IF($A92&lt;DATE(2018,7,1),"-",INDEX('I1 - Universal Data'!$E$16:$V$16, MATCH(YEAR(EOMONTH($A92,6)), 'I1 - Universal Data'!$E$14:$V$14, 0)))</f>
        <v>-</v>
      </c>
      <c r="F92" s="1113" t="str">
        <f>IF($A92&lt;DATE(2018,7,1),"-",INDEX('I1 - Universal Data'!$E$15:$V$15, MATCH(YEAR(EOMONTH($A92,6)), 'I1 - Universal Data'!$E$14:$V$14, 0)))</f>
        <v>-</v>
      </c>
      <c r="G92" s="1114">
        <f t="shared" si="9"/>
        <v>81.5</v>
      </c>
      <c r="H92" s="1114">
        <f t="shared" si="9"/>
        <v>198.5</v>
      </c>
      <c r="U92" s="1102"/>
    </row>
    <row r="93" spans="1:21">
      <c r="A93" s="1111">
        <f t="shared" si="8"/>
        <v>38929</v>
      </c>
      <c r="B93" s="1112">
        <f t="shared" si="6"/>
        <v>2007</v>
      </c>
      <c r="C93" s="1279">
        <v>81.5</v>
      </c>
      <c r="D93" s="1279">
        <v>198.5</v>
      </c>
      <c r="E93" s="1113" t="str">
        <f>IF($A93&lt;DATE(2018,7,1),"-",INDEX('I1 - Universal Data'!$E$16:$V$16, MATCH(YEAR(EOMONTH($A93,6)), 'I1 - Universal Data'!$E$14:$V$14, 0)))</f>
        <v>-</v>
      </c>
      <c r="F93" s="1113" t="str">
        <f>IF($A93&lt;DATE(2018,7,1),"-",INDEX('I1 - Universal Data'!$E$15:$V$15, MATCH(YEAR(EOMONTH($A93,6)), 'I1 - Universal Data'!$E$14:$V$14, 0)))</f>
        <v>-</v>
      </c>
      <c r="G93" s="1114">
        <f t="shared" si="9"/>
        <v>81.5</v>
      </c>
      <c r="H93" s="1114">
        <f t="shared" si="9"/>
        <v>198.5</v>
      </c>
      <c r="U93" s="1102"/>
    </row>
    <row r="94" spans="1:21">
      <c r="A94" s="1111">
        <f t="shared" si="8"/>
        <v>38960</v>
      </c>
      <c r="B94" s="1112">
        <f t="shared" si="6"/>
        <v>2007</v>
      </c>
      <c r="C94" s="1279">
        <v>81.8</v>
      </c>
      <c r="D94" s="1279">
        <v>199.2</v>
      </c>
      <c r="E94" s="1113" t="str">
        <f>IF($A94&lt;DATE(2018,7,1),"-",INDEX('I1 - Universal Data'!$E$16:$V$16, MATCH(YEAR(EOMONTH($A94,6)), 'I1 - Universal Data'!$E$14:$V$14, 0)))</f>
        <v>-</v>
      </c>
      <c r="F94" s="1113" t="str">
        <f>IF($A94&lt;DATE(2018,7,1),"-",INDEX('I1 - Universal Data'!$E$15:$V$15, MATCH(YEAR(EOMONTH($A94,6)), 'I1 - Universal Data'!$E$14:$V$14, 0)))</f>
        <v>-</v>
      </c>
      <c r="G94" s="1114">
        <f t="shared" si="9"/>
        <v>81.8</v>
      </c>
      <c r="H94" s="1114">
        <f t="shared" si="9"/>
        <v>199.2</v>
      </c>
      <c r="U94" s="1102"/>
    </row>
    <row r="95" spans="1:21">
      <c r="A95" s="1111">
        <f t="shared" si="8"/>
        <v>38990</v>
      </c>
      <c r="B95" s="1112">
        <f t="shared" si="6"/>
        <v>2007</v>
      </c>
      <c r="C95" s="1279">
        <v>81.900000000000006</v>
      </c>
      <c r="D95" s="1279">
        <v>200.1</v>
      </c>
      <c r="E95" s="1113" t="str">
        <f>IF($A95&lt;DATE(2018,7,1),"-",INDEX('I1 - Universal Data'!$E$16:$V$16, MATCH(YEAR(EOMONTH($A95,6)), 'I1 - Universal Data'!$E$14:$V$14, 0)))</f>
        <v>-</v>
      </c>
      <c r="F95" s="1113" t="str">
        <f>IF($A95&lt;DATE(2018,7,1),"-",INDEX('I1 - Universal Data'!$E$15:$V$15, MATCH(YEAR(EOMONTH($A95,6)), 'I1 - Universal Data'!$E$14:$V$14, 0)))</f>
        <v>-</v>
      </c>
      <c r="G95" s="1114">
        <f t="shared" si="9"/>
        <v>81.900000000000006</v>
      </c>
      <c r="H95" s="1114">
        <f t="shared" si="9"/>
        <v>200.1</v>
      </c>
      <c r="U95" s="1102"/>
    </row>
    <row r="96" spans="1:21">
      <c r="A96" s="1111">
        <f t="shared" si="8"/>
        <v>39021</v>
      </c>
      <c r="B96" s="1112">
        <f t="shared" si="6"/>
        <v>2007</v>
      </c>
      <c r="C96" s="1279">
        <v>82</v>
      </c>
      <c r="D96" s="1279">
        <v>200.4</v>
      </c>
      <c r="E96" s="1113" t="str">
        <f>IF($A96&lt;DATE(2018,7,1),"-",INDEX('I1 - Universal Data'!$E$16:$V$16, MATCH(YEAR(EOMONTH($A96,6)), 'I1 - Universal Data'!$E$14:$V$14, 0)))</f>
        <v>-</v>
      </c>
      <c r="F96" s="1113" t="str">
        <f>IF($A96&lt;DATE(2018,7,1),"-",INDEX('I1 - Universal Data'!$E$15:$V$15, MATCH(YEAR(EOMONTH($A96,6)), 'I1 - Universal Data'!$E$14:$V$14, 0)))</f>
        <v>-</v>
      </c>
      <c r="G96" s="1114">
        <f t="shared" si="9"/>
        <v>82</v>
      </c>
      <c r="H96" s="1114">
        <f t="shared" si="9"/>
        <v>200.4</v>
      </c>
      <c r="U96" s="1102"/>
    </row>
    <row r="97" spans="1:21">
      <c r="A97" s="1111">
        <f t="shared" si="8"/>
        <v>39051</v>
      </c>
      <c r="B97" s="1112">
        <f t="shared" si="6"/>
        <v>2007</v>
      </c>
      <c r="C97" s="1279">
        <v>82.2</v>
      </c>
      <c r="D97" s="1279">
        <v>201.1</v>
      </c>
      <c r="E97" s="1113" t="str">
        <f>IF($A97&lt;DATE(2018,7,1),"-",INDEX('I1 - Universal Data'!$E$16:$V$16, MATCH(YEAR(EOMONTH($A97,6)), 'I1 - Universal Data'!$E$14:$V$14, 0)))</f>
        <v>-</v>
      </c>
      <c r="F97" s="1113" t="str">
        <f>IF($A97&lt;DATE(2018,7,1),"-",INDEX('I1 - Universal Data'!$E$15:$V$15, MATCH(YEAR(EOMONTH($A97,6)), 'I1 - Universal Data'!$E$14:$V$14, 0)))</f>
        <v>-</v>
      </c>
      <c r="G97" s="1114">
        <f t="shared" si="9"/>
        <v>82.2</v>
      </c>
      <c r="H97" s="1114">
        <f t="shared" si="9"/>
        <v>201.1</v>
      </c>
      <c r="U97" s="1102"/>
    </row>
    <row r="98" spans="1:21">
      <c r="A98" s="1111">
        <f t="shared" si="8"/>
        <v>39082</v>
      </c>
      <c r="B98" s="1112">
        <f t="shared" si="6"/>
        <v>2007</v>
      </c>
      <c r="C98" s="1279">
        <v>82.6</v>
      </c>
      <c r="D98" s="1279">
        <v>202.7</v>
      </c>
      <c r="E98" s="1113" t="str">
        <f>IF($A98&lt;DATE(2018,7,1),"-",INDEX('I1 - Universal Data'!$E$16:$V$16, MATCH(YEAR(EOMONTH($A98,6)), 'I1 - Universal Data'!$E$14:$V$14, 0)))</f>
        <v>-</v>
      </c>
      <c r="F98" s="1113" t="str">
        <f>IF($A98&lt;DATE(2018,7,1),"-",INDEX('I1 - Universal Data'!$E$15:$V$15, MATCH(YEAR(EOMONTH($A98,6)), 'I1 - Universal Data'!$E$14:$V$14, 0)))</f>
        <v>-</v>
      </c>
      <c r="G98" s="1114">
        <f t="shared" si="9"/>
        <v>82.6</v>
      </c>
      <c r="H98" s="1114">
        <f t="shared" si="9"/>
        <v>202.7</v>
      </c>
      <c r="U98" s="1102"/>
    </row>
    <row r="99" spans="1:21">
      <c r="A99" s="1111">
        <f t="shared" si="8"/>
        <v>39113</v>
      </c>
      <c r="B99" s="1112">
        <f t="shared" si="6"/>
        <v>2007</v>
      </c>
      <c r="C99" s="1279">
        <v>82.1</v>
      </c>
      <c r="D99" s="1279">
        <v>201.6</v>
      </c>
      <c r="E99" s="1113" t="str">
        <f>IF($A99&lt;DATE(2018,7,1),"-",INDEX('I1 - Universal Data'!$E$16:$V$16, MATCH(YEAR(EOMONTH($A99,6)), 'I1 - Universal Data'!$E$14:$V$14, 0)))</f>
        <v>-</v>
      </c>
      <c r="F99" s="1113" t="str">
        <f>IF($A99&lt;DATE(2018,7,1),"-",INDEX('I1 - Universal Data'!$E$15:$V$15, MATCH(YEAR(EOMONTH($A99,6)), 'I1 - Universal Data'!$E$14:$V$14, 0)))</f>
        <v>-</v>
      </c>
      <c r="G99" s="1114">
        <f t="shared" si="9"/>
        <v>82.1</v>
      </c>
      <c r="H99" s="1114">
        <f t="shared" si="9"/>
        <v>201.6</v>
      </c>
      <c r="U99" s="1102"/>
    </row>
    <row r="100" spans="1:21">
      <c r="A100" s="1111">
        <f t="shared" si="8"/>
        <v>39141</v>
      </c>
      <c r="B100" s="1112">
        <f t="shared" si="6"/>
        <v>2007</v>
      </c>
      <c r="C100" s="1279">
        <v>82.4</v>
      </c>
      <c r="D100" s="1279">
        <v>203.1</v>
      </c>
      <c r="E100" s="1113" t="str">
        <f>IF($A100&lt;DATE(2018,7,1),"-",INDEX('I1 - Universal Data'!$E$16:$V$16, MATCH(YEAR(EOMONTH($A100,6)), 'I1 - Universal Data'!$E$14:$V$14, 0)))</f>
        <v>-</v>
      </c>
      <c r="F100" s="1113" t="str">
        <f>IF($A100&lt;DATE(2018,7,1),"-",INDEX('I1 - Universal Data'!$E$15:$V$15, MATCH(YEAR(EOMONTH($A100,6)), 'I1 - Universal Data'!$E$14:$V$14, 0)))</f>
        <v>-</v>
      </c>
      <c r="G100" s="1114">
        <f t="shared" si="9"/>
        <v>82.4</v>
      </c>
      <c r="H100" s="1114">
        <f t="shared" si="9"/>
        <v>203.1</v>
      </c>
      <c r="U100" s="1102"/>
    </row>
    <row r="101" spans="1:21">
      <c r="A101" s="1111">
        <f t="shared" si="8"/>
        <v>39172</v>
      </c>
      <c r="B101" s="1112">
        <f t="shared" si="6"/>
        <v>2007</v>
      </c>
      <c r="C101" s="1279">
        <v>82.8</v>
      </c>
      <c r="D101" s="1279">
        <v>204.4</v>
      </c>
      <c r="E101" s="1113" t="str">
        <f>IF($A101&lt;DATE(2018,7,1),"-",INDEX('I1 - Universal Data'!$E$16:$V$16, MATCH(YEAR(EOMONTH($A101,6)), 'I1 - Universal Data'!$E$14:$V$14, 0)))</f>
        <v>-</v>
      </c>
      <c r="F101" s="1113" t="str">
        <f>IF($A101&lt;DATE(2018,7,1),"-",INDEX('I1 - Universal Data'!$E$15:$V$15, MATCH(YEAR(EOMONTH($A101,6)), 'I1 - Universal Data'!$E$14:$V$14, 0)))</f>
        <v>-</v>
      </c>
      <c r="G101" s="1114">
        <f t="shared" si="9"/>
        <v>82.8</v>
      </c>
      <c r="H101" s="1114">
        <f t="shared" si="9"/>
        <v>204.4</v>
      </c>
      <c r="U101" s="1102"/>
    </row>
    <row r="102" spans="1:21">
      <c r="A102" s="1111">
        <f t="shared" si="8"/>
        <v>39202</v>
      </c>
      <c r="B102" s="1112">
        <f t="shared" si="6"/>
        <v>2008</v>
      </c>
      <c r="C102" s="1279">
        <v>83.1</v>
      </c>
      <c r="D102" s="1279">
        <v>205.4</v>
      </c>
      <c r="E102" s="1113" t="str">
        <f>IF($A102&lt;DATE(2018,7,1),"-",INDEX('I1 - Universal Data'!$E$16:$V$16, MATCH(YEAR(EOMONTH($A102,6)), 'I1 - Universal Data'!$E$14:$V$14, 0)))</f>
        <v>-</v>
      </c>
      <c r="F102" s="1113" t="str">
        <f>IF($A102&lt;DATE(2018,7,1),"-",INDEX('I1 - Universal Data'!$E$15:$V$15, MATCH(YEAR(EOMONTH($A102,6)), 'I1 - Universal Data'!$E$14:$V$14, 0)))</f>
        <v>-</v>
      </c>
      <c r="G102" s="1114">
        <f t="shared" ref="G102:H117" si="10">IF(ISBLANK(C102),G101*((1+E102)^(1/12)),C102)</f>
        <v>83.1</v>
      </c>
      <c r="H102" s="1114">
        <f t="shared" si="10"/>
        <v>205.4</v>
      </c>
      <c r="U102" s="1102"/>
    </row>
    <row r="103" spans="1:21">
      <c r="A103" s="1111">
        <f t="shared" si="8"/>
        <v>39233</v>
      </c>
      <c r="B103" s="1112">
        <f t="shared" si="6"/>
        <v>2008</v>
      </c>
      <c r="C103" s="1279">
        <v>83.3</v>
      </c>
      <c r="D103" s="1279">
        <v>206.2</v>
      </c>
      <c r="E103" s="1113" t="str">
        <f>IF($A103&lt;DATE(2018,7,1),"-",INDEX('I1 - Universal Data'!$E$16:$V$16, MATCH(YEAR(EOMONTH($A103,6)), 'I1 - Universal Data'!$E$14:$V$14, 0)))</f>
        <v>-</v>
      </c>
      <c r="F103" s="1113" t="str">
        <f>IF($A103&lt;DATE(2018,7,1),"-",INDEX('I1 - Universal Data'!$E$15:$V$15, MATCH(YEAR(EOMONTH($A103,6)), 'I1 - Universal Data'!$E$14:$V$14, 0)))</f>
        <v>-</v>
      </c>
      <c r="G103" s="1114">
        <f t="shared" si="10"/>
        <v>83.3</v>
      </c>
      <c r="H103" s="1114">
        <f t="shared" si="10"/>
        <v>206.2</v>
      </c>
      <c r="U103" s="1102"/>
    </row>
    <row r="104" spans="1:21">
      <c r="A104" s="1111">
        <f t="shared" si="8"/>
        <v>39263</v>
      </c>
      <c r="B104" s="1112">
        <f t="shared" si="6"/>
        <v>2008</v>
      </c>
      <c r="C104" s="1279">
        <v>83.5</v>
      </c>
      <c r="D104" s="1279">
        <v>207.3</v>
      </c>
      <c r="E104" s="1113" t="str">
        <f>IF($A104&lt;DATE(2018,7,1),"-",INDEX('I1 - Universal Data'!$E$16:$V$16, MATCH(YEAR(EOMONTH($A104,6)), 'I1 - Universal Data'!$E$14:$V$14, 0)))</f>
        <v>-</v>
      </c>
      <c r="F104" s="1113" t="str">
        <f>IF($A104&lt;DATE(2018,7,1),"-",INDEX('I1 - Universal Data'!$E$15:$V$15, MATCH(YEAR(EOMONTH($A104,6)), 'I1 - Universal Data'!$E$14:$V$14, 0)))</f>
        <v>-</v>
      </c>
      <c r="G104" s="1114">
        <f t="shared" si="10"/>
        <v>83.5</v>
      </c>
      <c r="H104" s="1114">
        <f t="shared" si="10"/>
        <v>207.3</v>
      </c>
      <c r="U104" s="1102"/>
    </row>
    <row r="105" spans="1:21">
      <c r="A105" s="1111">
        <f t="shared" si="8"/>
        <v>39294</v>
      </c>
      <c r="B105" s="1112">
        <f t="shared" si="6"/>
        <v>2008</v>
      </c>
      <c r="C105" s="1279">
        <v>83.1</v>
      </c>
      <c r="D105" s="1279">
        <v>206.1</v>
      </c>
      <c r="E105" s="1113" t="str">
        <f>IF($A105&lt;DATE(2018,7,1),"-",INDEX('I1 - Universal Data'!$E$16:$V$16, MATCH(YEAR(EOMONTH($A105,6)), 'I1 - Universal Data'!$E$14:$V$14, 0)))</f>
        <v>-</v>
      </c>
      <c r="F105" s="1113" t="str">
        <f>IF($A105&lt;DATE(2018,7,1),"-",INDEX('I1 - Universal Data'!$E$15:$V$15, MATCH(YEAR(EOMONTH($A105,6)), 'I1 - Universal Data'!$E$14:$V$14, 0)))</f>
        <v>-</v>
      </c>
      <c r="G105" s="1114">
        <f t="shared" si="10"/>
        <v>83.1</v>
      </c>
      <c r="H105" s="1114">
        <f t="shared" si="10"/>
        <v>206.1</v>
      </c>
      <c r="U105" s="1102"/>
    </row>
    <row r="106" spans="1:21">
      <c r="A106" s="1111">
        <f t="shared" si="8"/>
        <v>39325</v>
      </c>
      <c r="B106" s="1112">
        <f t="shared" si="6"/>
        <v>2008</v>
      </c>
      <c r="C106" s="1279">
        <v>83.4</v>
      </c>
      <c r="D106" s="1279">
        <v>207.3</v>
      </c>
      <c r="E106" s="1113" t="str">
        <f>IF($A106&lt;DATE(2018,7,1),"-",INDEX('I1 - Universal Data'!$E$16:$V$16, MATCH(YEAR(EOMONTH($A106,6)), 'I1 - Universal Data'!$E$14:$V$14, 0)))</f>
        <v>-</v>
      </c>
      <c r="F106" s="1113" t="str">
        <f>IF($A106&lt;DATE(2018,7,1),"-",INDEX('I1 - Universal Data'!$E$15:$V$15, MATCH(YEAR(EOMONTH($A106,6)), 'I1 - Universal Data'!$E$14:$V$14, 0)))</f>
        <v>-</v>
      </c>
      <c r="G106" s="1114">
        <f t="shared" si="10"/>
        <v>83.4</v>
      </c>
      <c r="H106" s="1114">
        <f t="shared" si="10"/>
        <v>207.3</v>
      </c>
      <c r="U106" s="1102"/>
    </row>
    <row r="107" spans="1:21">
      <c r="A107" s="1111">
        <f t="shared" si="8"/>
        <v>39355</v>
      </c>
      <c r="B107" s="1112">
        <f t="shared" si="6"/>
        <v>2008</v>
      </c>
      <c r="C107" s="1279">
        <v>83.5</v>
      </c>
      <c r="D107" s="1279">
        <v>208</v>
      </c>
      <c r="E107" s="1113" t="str">
        <f>IF($A107&lt;DATE(2018,7,1),"-",INDEX('I1 - Universal Data'!$E$16:$V$16, MATCH(YEAR(EOMONTH($A107,6)), 'I1 - Universal Data'!$E$14:$V$14, 0)))</f>
        <v>-</v>
      </c>
      <c r="F107" s="1113" t="str">
        <f>IF($A107&lt;DATE(2018,7,1),"-",INDEX('I1 - Universal Data'!$E$15:$V$15, MATCH(YEAR(EOMONTH($A107,6)), 'I1 - Universal Data'!$E$14:$V$14, 0)))</f>
        <v>-</v>
      </c>
      <c r="G107" s="1114">
        <f t="shared" si="10"/>
        <v>83.5</v>
      </c>
      <c r="H107" s="1114">
        <f t="shared" si="10"/>
        <v>208</v>
      </c>
      <c r="U107" s="1102"/>
    </row>
    <row r="108" spans="1:21">
      <c r="A108" s="1111">
        <f t="shared" si="8"/>
        <v>39386</v>
      </c>
      <c r="B108" s="1112">
        <f t="shared" si="6"/>
        <v>2008</v>
      </c>
      <c r="C108" s="1279">
        <v>83.8</v>
      </c>
      <c r="D108" s="1279">
        <v>208.9</v>
      </c>
      <c r="E108" s="1113" t="str">
        <f>IF($A108&lt;DATE(2018,7,1),"-",INDEX('I1 - Universal Data'!$E$16:$V$16, MATCH(YEAR(EOMONTH($A108,6)), 'I1 - Universal Data'!$E$14:$V$14, 0)))</f>
        <v>-</v>
      </c>
      <c r="F108" s="1113" t="str">
        <f>IF($A108&lt;DATE(2018,7,1),"-",INDEX('I1 - Universal Data'!$E$15:$V$15, MATCH(YEAR(EOMONTH($A108,6)), 'I1 - Universal Data'!$E$14:$V$14, 0)))</f>
        <v>-</v>
      </c>
      <c r="G108" s="1114">
        <f t="shared" si="10"/>
        <v>83.8</v>
      </c>
      <c r="H108" s="1114">
        <f t="shared" si="10"/>
        <v>208.9</v>
      </c>
      <c r="U108" s="1102"/>
    </row>
    <row r="109" spans="1:21">
      <c r="A109" s="1111">
        <f t="shared" si="8"/>
        <v>39416</v>
      </c>
      <c r="B109" s="1112">
        <f t="shared" si="6"/>
        <v>2008</v>
      </c>
      <c r="C109" s="1279">
        <v>84.1</v>
      </c>
      <c r="D109" s="1279">
        <v>209.7</v>
      </c>
      <c r="E109" s="1113" t="str">
        <f>IF($A109&lt;DATE(2018,7,1),"-",INDEX('I1 - Universal Data'!$E$16:$V$16, MATCH(YEAR(EOMONTH($A109,6)), 'I1 - Universal Data'!$E$14:$V$14, 0)))</f>
        <v>-</v>
      </c>
      <c r="F109" s="1113" t="str">
        <f>IF($A109&lt;DATE(2018,7,1),"-",INDEX('I1 - Universal Data'!$E$15:$V$15, MATCH(YEAR(EOMONTH($A109,6)), 'I1 - Universal Data'!$E$14:$V$14, 0)))</f>
        <v>-</v>
      </c>
      <c r="G109" s="1114">
        <f t="shared" si="10"/>
        <v>84.1</v>
      </c>
      <c r="H109" s="1114">
        <f t="shared" si="10"/>
        <v>209.7</v>
      </c>
      <c r="U109" s="1102"/>
    </row>
    <row r="110" spans="1:21">
      <c r="A110" s="1111">
        <f t="shared" si="8"/>
        <v>39447</v>
      </c>
      <c r="B110" s="1112">
        <f t="shared" si="6"/>
        <v>2008</v>
      </c>
      <c r="C110" s="1279">
        <v>84.5</v>
      </c>
      <c r="D110" s="1279">
        <v>210.9</v>
      </c>
      <c r="E110" s="1113" t="str">
        <f>IF($A110&lt;DATE(2018,7,1),"-",INDEX('I1 - Universal Data'!$E$16:$V$16, MATCH(YEAR(EOMONTH($A110,6)), 'I1 - Universal Data'!$E$14:$V$14, 0)))</f>
        <v>-</v>
      </c>
      <c r="F110" s="1113" t="str">
        <f>IF($A110&lt;DATE(2018,7,1),"-",INDEX('I1 - Universal Data'!$E$15:$V$15, MATCH(YEAR(EOMONTH($A110,6)), 'I1 - Universal Data'!$E$14:$V$14, 0)))</f>
        <v>-</v>
      </c>
      <c r="G110" s="1114">
        <f t="shared" si="10"/>
        <v>84.5</v>
      </c>
      <c r="H110" s="1114">
        <f t="shared" si="10"/>
        <v>210.9</v>
      </c>
      <c r="U110" s="1102"/>
    </row>
    <row r="111" spans="1:21">
      <c r="A111" s="1111">
        <f t="shared" si="8"/>
        <v>39478</v>
      </c>
      <c r="B111" s="1112">
        <f t="shared" si="6"/>
        <v>2008</v>
      </c>
      <c r="C111" s="1279">
        <v>84.1</v>
      </c>
      <c r="D111" s="1279">
        <v>209.8</v>
      </c>
      <c r="E111" s="1113" t="str">
        <f>IF($A111&lt;DATE(2018,7,1),"-",INDEX('I1 - Universal Data'!$E$16:$V$16, MATCH(YEAR(EOMONTH($A111,6)), 'I1 - Universal Data'!$E$14:$V$14, 0)))</f>
        <v>-</v>
      </c>
      <c r="F111" s="1113" t="str">
        <f>IF($A111&lt;DATE(2018,7,1),"-",INDEX('I1 - Universal Data'!$E$15:$V$15, MATCH(YEAR(EOMONTH($A111,6)), 'I1 - Universal Data'!$E$14:$V$14, 0)))</f>
        <v>-</v>
      </c>
      <c r="G111" s="1114">
        <f t="shared" si="10"/>
        <v>84.1</v>
      </c>
      <c r="H111" s="1114">
        <f t="shared" si="10"/>
        <v>209.8</v>
      </c>
      <c r="U111" s="1102"/>
    </row>
    <row r="112" spans="1:21">
      <c r="A112" s="1111">
        <f t="shared" si="8"/>
        <v>39507</v>
      </c>
      <c r="B112" s="1112">
        <f t="shared" si="6"/>
        <v>2008</v>
      </c>
      <c r="C112" s="1279">
        <v>84.6</v>
      </c>
      <c r="D112" s="1279">
        <v>211.4</v>
      </c>
      <c r="E112" s="1113" t="str">
        <f>IF($A112&lt;DATE(2018,7,1),"-",INDEX('I1 - Universal Data'!$E$16:$V$16, MATCH(YEAR(EOMONTH($A112,6)), 'I1 - Universal Data'!$E$14:$V$14, 0)))</f>
        <v>-</v>
      </c>
      <c r="F112" s="1113" t="str">
        <f>IF($A112&lt;DATE(2018,7,1),"-",INDEX('I1 - Universal Data'!$E$15:$V$15, MATCH(YEAR(EOMONTH($A112,6)), 'I1 - Universal Data'!$E$14:$V$14, 0)))</f>
        <v>-</v>
      </c>
      <c r="G112" s="1114">
        <f t="shared" si="10"/>
        <v>84.6</v>
      </c>
      <c r="H112" s="1114">
        <f t="shared" si="10"/>
        <v>211.4</v>
      </c>
      <c r="U112" s="1102"/>
    </row>
    <row r="113" spans="1:21">
      <c r="A113" s="1111">
        <f t="shared" si="8"/>
        <v>39538</v>
      </c>
      <c r="B113" s="1112">
        <f t="shared" si="6"/>
        <v>2008</v>
      </c>
      <c r="C113" s="1279">
        <v>84.9</v>
      </c>
      <c r="D113" s="1279">
        <v>212.1</v>
      </c>
      <c r="E113" s="1113" t="str">
        <f>IF($A113&lt;DATE(2018,7,1),"-",INDEX('I1 - Universal Data'!$E$16:$V$16, MATCH(YEAR(EOMONTH($A113,6)), 'I1 - Universal Data'!$E$14:$V$14, 0)))</f>
        <v>-</v>
      </c>
      <c r="F113" s="1113" t="str">
        <f>IF($A113&lt;DATE(2018,7,1),"-",INDEX('I1 - Universal Data'!$E$15:$V$15, MATCH(YEAR(EOMONTH($A113,6)), 'I1 - Universal Data'!$E$14:$V$14, 0)))</f>
        <v>-</v>
      </c>
      <c r="G113" s="1114">
        <f t="shared" si="10"/>
        <v>84.9</v>
      </c>
      <c r="H113" s="1114">
        <f t="shared" si="10"/>
        <v>212.1</v>
      </c>
      <c r="U113" s="1102"/>
    </row>
    <row r="114" spans="1:21">
      <c r="A114" s="1111">
        <f t="shared" si="8"/>
        <v>39568</v>
      </c>
      <c r="B114" s="1112">
        <f t="shared" si="6"/>
        <v>2009</v>
      </c>
      <c r="C114" s="1279">
        <v>85.6</v>
      </c>
      <c r="D114" s="1279">
        <v>214</v>
      </c>
      <c r="E114" s="1113" t="str">
        <f>IF($A114&lt;DATE(2018,7,1),"-",INDEX('I1 - Universal Data'!$E$16:$V$16, MATCH(YEAR(EOMONTH($A114,6)), 'I1 - Universal Data'!$E$14:$V$14, 0)))</f>
        <v>-</v>
      </c>
      <c r="F114" s="1113" t="str">
        <f>IF($A114&lt;DATE(2018,7,1),"-",INDEX('I1 - Universal Data'!$E$15:$V$15, MATCH(YEAR(EOMONTH($A114,6)), 'I1 - Universal Data'!$E$14:$V$14, 0)))</f>
        <v>-</v>
      </c>
      <c r="G114" s="1114">
        <f t="shared" si="10"/>
        <v>85.6</v>
      </c>
      <c r="H114" s="1114">
        <f t="shared" si="10"/>
        <v>214</v>
      </c>
      <c r="U114" s="1102"/>
    </row>
    <row r="115" spans="1:21">
      <c r="A115" s="1111">
        <f t="shared" si="8"/>
        <v>39599</v>
      </c>
      <c r="B115" s="1112">
        <f t="shared" si="6"/>
        <v>2009</v>
      </c>
      <c r="C115" s="1279">
        <v>86.1</v>
      </c>
      <c r="D115" s="1279">
        <v>215.1</v>
      </c>
      <c r="E115" s="1113" t="str">
        <f>IF($A115&lt;DATE(2018,7,1),"-",INDEX('I1 - Universal Data'!$E$16:$V$16, MATCH(YEAR(EOMONTH($A115,6)), 'I1 - Universal Data'!$E$14:$V$14, 0)))</f>
        <v>-</v>
      </c>
      <c r="F115" s="1113" t="str">
        <f>IF($A115&lt;DATE(2018,7,1),"-",INDEX('I1 - Universal Data'!$E$15:$V$15, MATCH(YEAR(EOMONTH($A115,6)), 'I1 - Universal Data'!$E$14:$V$14, 0)))</f>
        <v>-</v>
      </c>
      <c r="G115" s="1114">
        <f t="shared" si="10"/>
        <v>86.1</v>
      </c>
      <c r="H115" s="1114">
        <f t="shared" si="10"/>
        <v>215.1</v>
      </c>
      <c r="U115" s="1102"/>
    </row>
    <row r="116" spans="1:21">
      <c r="A116" s="1111">
        <f t="shared" si="8"/>
        <v>39629</v>
      </c>
      <c r="B116" s="1112">
        <f t="shared" si="6"/>
        <v>2009</v>
      </c>
      <c r="C116" s="1279">
        <v>86.6</v>
      </c>
      <c r="D116" s="1279">
        <v>216.8</v>
      </c>
      <c r="E116" s="1113" t="str">
        <f>IF($A116&lt;DATE(2018,7,1),"-",INDEX('I1 - Universal Data'!$E$16:$V$16, MATCH(YEAR(EOMONTH($A116,6)), 'I1 - Universal Data'!$E$14:$V$14, 0)))</f>
        <v>-</v>
      </c>
      <c r="F116" s="1113" t="str">
        <f>IF($A116&lt;DATE(2018,7,1),"-",INDEX('I1 - Universal Data'!$E$15:$V$15, MATCH(YEAR(EOMONTH($A116,6)), 'I1 - Universal Data'!$E$14:$V$14, 0)))</f>
        <v>-</v>
      </c>
      <c r="G116" s="1114">
        <f t="shared" si="10"/>
        <v>86.6</v>
      </c>
      <c r="H116" s="1114">
        <f t="shared" si="10"/>
        <v>216.8</v>
      </c>
      <c r="U116" s="1102"/>
    </row>
    <row r="117" spans="1:21">
      <c r="A117" s="1111">
        <f t="shared" si="8"/>
        <v>39660</v>
      </c>
      <c r="B117" s="1112">
        <f t="shared" si="6"/>
        <v>2009</v>
      </c>
      <c r="C117" s="1279">
        <v>86.6</v>
      </c>
      <c r="D117" s="1279">
        <v>216.5</v>
      </c>
      <c r="E117" s="1113" t="str">
        <f>IF($A117&lt;DATE(2018,7,1),"-",INDEX('I1 - Universal Data'!$E$16:$V$16, MATCH(YEAR(EOMONTH($A117,6)), 'I1 - Universal Data'!$E$14:$V$14, 0)))</f>
        <v>-</v>
      </c>
      <c r="F117" s="1113" t="str">
        <f>IF($A117&lt;DATE(2018,7,1),"-",INDEX('I1 - Universal Data'!$E$15:$V$15, MATCH(YEAR(EOMONTH($A117,6)), 'I1 - Universal Data'!$E$14:$V$14, 0)))</f>
        <v>-</v>
      </c>
      <c r="G117" s="1114">
        <f t="shared" si="10"/>
        <v>86.6</v>
      </c>
      <c r="H117" s="1114">
        <f t="shared" si="10"/>
        <v>216.5</v>
      </c>
      <c r="U117" s="1102"/>
    </row>
    <row r="118" spans="1:21">
      <c r="A118" s="1111">
        <f t="shared" si="8"/>
        <v>39691</v>
      </c>
      <c r="B118" s="1112">
        <f t="shared" si="6"/>
        <v>2009</v>
      </c>
      <c r="C118" s="1279">
        <v>87.1</v>
      </c>
      <c r="D118" s="1279">
        <v>217.2</v>
      </c>
      <c r="E118" s="1113" t="str">
        <f>IF($A118&lt;DATE(2018,7,1),"-",INDEX('I1 - Universal Data'!$E$16:$V$16, MATCH(YEAR(EOMONTH($A118,6)), 'I1 - Universal Data'!$E$14:$V$14, 0)))</f>
        <v>-</v>
      </c>
      <c r="F118" s="1113" t="str">
        <f>IF($A118&lt;DATE(2018,7,1),"-",INDEX('I1 - Universal Data'!$E$15:$V$15, MATCH(YEAR(EOMONTH($A118,6)), 'I1 - Universal Data'!$E$14:$V$14, 0)))</f>
        <v>-</v>
      </c>
      <c r="G118" s="1114">
        <f t="shared" ref="G118:H133" si="11">IF(ISBLANK(C118),G117*((1+E118)^(1/12)),C118)</f>
        <v>87.1</v>
      </c>
      <c r="H118" s="1114">
        <f t="shared" si="11"/>
        <v>217.2</v>
      </c>
      <c r="U118" s="1102"/>
    </row>
    <row r="119" spans="1:21">
      <c r="A119" s="1111">
        <f t="shared" si="8"/>
        <v>39721</v>
      </c>
      <c r="B119" s="1112">
        <f t="shared" si="6"/>
        <v>2009</v>
      </c>
      <c r="C119" s="1279">
        <v>87.5</v>
      </c>
      <c r="D119" s="1279">
        <v>218.4</v>
      </c>
      <c r="E119" s="1113" t="str">
        <f>IF($A119&lt;DATE(2018,7,1),"-",INDEX('I1 - Universal Data'!$E$16:$V$16, MATCH(YEAR(EOMONTH($A119,6)), 'I1 - Universal Data'!$E$14:$V$14, 0)))</f>
        <v>-</v>
      </c>
      <c r="F119" s="1113" t="str">
        <f>IF($A119&lt;DATE(2018,7,1),"-",INDEX('I1 - Universal Data'!$E$15:$V$15, MATCH(YEAR(EOMONTH($A119,6)), 'I1 - Universal Data'!$E$14:$V$14, 0)))</f>
        <v>-</v>
      </c>
      <c r="G119" s="1114">
        <f t="shared" si="11"/>
        <v>87.5</v>
      </c>
      <c r="H119" s="1114">
        <f t="shared" si="11"/>
        <v>218.4</v>
      </c>
      <c r="U119" s="1102"/>
    </row>
    <row r="120" spans="1:21">
      <c r="A120" s="1111">
        <f t="shared" si="8"/>
        <v>39752</v>
      </c>
      <c r="B120" s="1112">
        <f t="shared" si="6"/>
        <v>2009</v>
      </c>
      <c r="C120" s="1279">
        <v>87.3</v>
      </c>
      <c r="D120" s="1279">
        <v>217.7</v>
      </c>
      <c r="E120" s="1113" t="str">
        <f>IF($A120&lt;DATE(2018,7,1),"-",INDEX('I1 - Universal Data'!$E$16:$V$16, MATCH(YEAR(EOMONTH($A120,6)), 'I1 - Universal Data'!$E$14:$V$14, 0)))</f>
        <v>-</v>
      </c>
      <c r="F120" s="1113" t="str">
        <f>IF($A120&lt;DATE(2018,7,1),"-",INDEX('I1 - Universal Data'!$E$15:$V$15, MATCH(YEAR(EOMONTH($A120,6)), 'I1 - Universal Data'!$E$14:$V$14, 0)))</f>
        <v>-</v>
      </c>
      <c r="G120" s="1114">
        <f t="shared" si="11"/>
        <v>87.3</v>
      </c>
      <c r="H120" s="1114">
        <f t="shared" si="11"/>
        <v>217.7</v>
      </c>
      <c r="U120" s="1102"/>
    </row>
    <row r="121" spans="1:21">
      <c r="A121" s="1111">
        <f t="shared" si="8"/>
        <v>39782</v>
      </c>
      <c r="B121" s="1112">
        <f t="shared" si="6"/>
        <v>2009</v>
      </c>
      <c r="C121" s="1279">
        <v>87.3</v>
      </c>
      <c r="D121" s="1279">
        <v>216</v>
      </c>
      <c r="E121" s="1113" t="str">
        <f>IF($A121&lt;DATE(2018,7,1),"-",INDEX('I1 - Universal Data'!$E$16:$V$16, MATCH(YEAR(EOMONTH($A121,6)), 'I1 - Universal Data'!$E$14:$V$14, 0)))</f>
        <v>-</v>
      </c>
      <c r="F121" s="1113" t="str">
        <f>IF($A121&lt;DATE(2018,7,1),"-",INDEX('I1 - Universal Data'!$E$15:$V$15, MATCH(YEAR(EOMONTH($A121,6)), 'I1 - Universal Data'!$E$14:$V$14, 0)))</f>
        <v>-</v>
      </c>
      <c r="G121" s="1114">
        <f t="shared" si="11"/>
        <v>87.3</v>
      </c>
      <c r="H121" s="1114">
        <f t="shared" si="11"/>
        <v>216</v>
      </c>
      <c r="U121" s="1102"/>
    </row>
    <row r="122" spans="1:21">
      <c r="A122" s="1111">
        <f t="shared" si="8"/>
        <v>39813</v>
      </c>
      <c r="B122" s="1112">
        <f t="shared" si="6"/>
        <v>2009</v>
      </c>
      <c r="C122" s="1279">
        <v>87.1</v>
      </c>
      <c r="D122" s="1279">
        <v>212.9</v>
      </c>
      <c r="E122" s="1113" t="str">
        <f>IF($A122&lt;DATE(2018,7,1),"-",INDEX('I1 - Universal Data'!$E$16:$V$16, MATCH(YEAR(EOMONTH($A122,6)), 'I1 - Universal Data'!$E$14:$V$14, 0)))</f>
        <v>-</v>
      </c>
      <c r="F122" s="1113" t="str">
        <f>IF($A122&lt;DATE(2018,7,1),"-",INDEX('I1 - Universal Data'!$E$15:$V$15, MATCH(YEAR(EOMONTH($A122,6)), 'I1 - Universal Data'!$E$14:$V$14, 0)))</f>
        <v>-</v>
      </c>
      <c r="G122" s="1114">
        <f t="shared" si="11"/>
        <v>87.1</v>
      </c>
      <c r="H122" s="1114">
        <f t="shared" si="11"/>
        <v>212.9</v>
      </c>
      <c r="U122" s="1102"/>
    </row>
    <row r="123" spans="1:21">
      <c r="A123" s="1111">
        <f t="shared" si="8"/>
        <v>39844</v>
      </c>
      <c r="B123" s="1112">
        <f t="shared" si="6"/>
        <v>2009</v>
      </c>
      <c r="C123" s="1279">
        <v>86.6</v>
      </c>
      <c r="D123" s="1279">
        <v>210.1</v>
      </c>
      <c r="E123" s="1113" t="str">
        <f>IF($A123&lt;DATE(2018,7,1),"-",INDEX('I1 - Universal Data'!$E$16:$V$16, MATCH(YEAR(EOMONTH($A123,6)), 'I1 - Universal Data'!$E$14:$V$14, 0)))</f>
        <v>-</v>
      </c>
      <c r="F123" s="1113" t="str">
        <f>IF($A123&lt;DATE(2018,7,1),"-",INDEX('I1 - Universal Data'!$E$15:$V$15, MATCH(YEAR(EOMONTH($A123,6)), 'I1 - Universal Data'!$E$14:$V$14, 0)))</f>
        <v>-</v>
      </c>
      <c r="G123" s="1114">
        <f t="shared" si="11"/>
        <v>86.6</v>
      </c>
      <c r="H123" s="1114">
        <f t="shared" si="11"/>
        <v>210.1</v>
      </c>
      <c r="U123" s="1102"/>
    </row>
    <row r="124" spans="1:21">
      <c r="A124" s="1111">
        <f t="shared" si="8"/>
        <v>39872</v>
      </c>
      <c r="B124" s="1112">
        <f t="shared" si="6"/>
        <v>2009</v>
      </c>
      <c r="C124" s="1279">
        <v>87.2</v>
      </c>
      <c r="D124" s="1279">
        <v>211.4</v>
      </c>
      <c r="E124" s="1113" t="str">
        <f>IF($A124&lt;DATE(2018,7,1),"-",INDEX('I1 - Universal Data'!$E$16:$V$16, MATCH(YEAR(EOMONTH($A124,6)), 'I1 - Universal Data'!$E$14:$V$14, 0)))</f>
        <v>-</v>
      </c>
      <c r="F124" s="1113" t="str">
        <f>IF($A124&lt;DATE(2018,7,1),"-",INDEX('I1 - Universal Data'!$E$15:$V$15, MATCH(YEAR(EOMONTH($A124,6)), 'I1 - Universal Data'!$E$14:$V$14, 0)))</f>
        <v>-</v>
      </c>
      <c r="G124" s="1114">
        <f t="shared" si="11"/>
        <v>87.2</v>
      </c>
      <c r="H124" s="1114">
        <f t="shared" si="11"/>
        <v>211.4</v>
      </c>
      <c r="U124" s="1102"/>
    </row>
    <row r="125" spans="1:21">
      <c r="A125" s="1111">
        <f t="shared" si="8"/>
        <v>39903</v>
      </c>
      <c r="B125" s="1112">
        <f t="shared" si="6"/>
        <v>2009</v>
      </c>
      <c r="C125" s="1279">
        <v>87.3</v>
      </c>
      <c r="D125" s="1279">
        <v>211.3</v>
      </c>
      <c r="E125" s="1113" t="str">
        <f>IF($A125&lt;DATE(2018,7,1),"-",INDEX('I1 - Universal Data'!$E$16:$V$16, MATCH(YEAR(EOMONTH($A125,6)), 'I1 - Universal Data'!$E$14:$V$14, 0)))</f>
        <v>-</v>
      </c>
      <c r="F125" s="1113" t="str">
        <f>IF($A125&lt;DATE(2018,7,1),"-",INDEX('I1 - Universal Data'!$E$15:$V$15, MATCH(YEAR(EOMONTH($A125,6)), 'I1 - Universal Data'!$E$14:$V$14, 0)))</f>
        <v>-</v>
      </c>
      <c r="G125" s="1114">
        <f t="shared" si="11"/>
        <v>87.3</v>
      </c>
      <c r="H125" s="1114">
        <f t="shared" si="11"/>
        <v>211.3</v>
      </c>
      <c r="U125" s="1102"/>
    </row>
    <row r="126" spans="1:21">
      <c r="A126" s="1111">
        <f t="shared" si="8"/>
        <v>39933</v>
      </c>
      <c r="B126" s="1112">
        <f t="shared" si="6"/>
        <v>2010</v>
      </c>
      <c r="C126" s="1279">
        <v>87.5</v>
      </c>
      <c r="D126" s="1279">
        <v>211.5</v>
      </c>
      <c r="E126" s="1113" t="str">
        <f>IF($A126&lt;DATE(2018,7,1),"-",INDEX('I1 - Universal Data'!$E$16:$V$16, MATCH(YEAR(EOMONTH($A126,6)), 'I1 - Universal Data'!$E$14:$V$14, 0)))</f>
        <v>-</v>
      </c>
      <c r="F126" s="1113" t="str">
        <f>IF($A126&lt;DATE(2018,7,1),"-",INDEX('I1 - Universal Data'!$E$15:$V$15, MATCH(YEAR(EOMONTH($A126,6)), 'I1 - Universal Data'!$E$14:$V$14, 0)))</f>
        <v>-</v>
      </c>
      <c r="G126" s="1114">
        <f t="shared" si="11"/>
        <v>87.5</v>
      </c>
      <c r="H126" s="1114">
        <f t="shared" si="11"/>
        <v>211.5</v>
      </c>
      <c r="U126" s="1102"/>
    </row>
    <row r="127" spans="1:21">
      <c r="A127" s="1111">
        <f t="shared" si="8"/>
        <v>39964</v>
      </c>
      <c r="B127" s="1112">
        <f t="shared" si="6"/>
        <v>2010</v>
      </c>
      <c r="C127" s="1279">
        <v>87.9</v>
      </c>
      <c r="D127" s="1279">
        <v>212.8</v>
      </c>
      <c r="E127" s="1113" t="str">
        <f>IF($A127&lt;DATE(2018,7,1),"-",INDEX('I1 - Universal Data'!$E$16:$V$16, MATCH(YEAR(EOMONTH($A127,6)), 'I1 - Universal Data'!$E$14:$V$14, 0)))</f>
        <v>-</v>
      </c>
      <c r="F127" s="1113" t="str">
        <f>IF($A127&lt;DATE(2018,7,1),"-",INDEX('I1 - Universal Data'!$E$15:$V$15, MATCH(YEAR(EOMONTH($A127,6)), 'I1 - Universal Data'!$E$14:$V$14, 0)))</f>
        <v>-</v>
      </c>
      <c r="G127" s="1114">
        <f t="shared" si="11"/>
        <v>87.9</v>
      </c>
      <c r="H127" s="1114">
        <f t="shared" si="11"/>
        <v>212.8</v>
      </c>
      <c r="U127" s="1102"/>
    </row>
    <row r="128" spans="1:21">
      <c r="A128" s="1111">
        <f t="shared" si="8"/>
        <v>39994</v>
      </c>
      <c r="B128" s="1112">
        <f t="shared" si="6"/>
        <v>2010</v>
      </c>
      <c r="C128" s="1279">
        <v>88.1</v>
      </c>
      <c r="D128" s="1279">
        <v>213.4</v>
      </c>
      <c r="E128" s="1113" t="str">
        <f>IF($A128&lt;DATE(2018,7,1),"-",INDEX('I1 - Universal Data'!$E$16:$V$16, MATCH(YEAR(EOMONTH($A128,6)), 'I1 - Universal Data'!$E$14:$V$14, 0)))</f>
        <v>-</v>
      </c>
      <c r="F128" s="1113" t="str">
        <f>IF($A128&lt;DATE(2018,7,1),"-",INDEX('I1 - Universal Data'!$E$15:$V$15, MATCH(YEAR(EOMONTH($A128,6)), 'I1 - Universal Data'!$E$14:$V$14, 0)))</f>
        <v>-</v>
      </c>
      <c r="G128" s="1114">
        <f t="shared" si="11"/>
        <v>88.1</v>
      </c>
      <c r="H128" s="1114">
        <f t="shared" si="11"/>
        <v>213.4</v>
      </c>
      <c r="U128" s="1102"/>
    </row>
    <row r="129" spans="1:21">
      <c r="A129" s="1111">
        <f t="shared" si="8"/>
        <v>40025</v>
      </c>
      <c r="B129" s="1112">
        <f t="shared" si="6"/>
        <v>2010</v>
      </c>
      <c r="C129" s="1279">
        <v>88</v>
      </c>
      <c r="D129" s="1279">
        <v>213.4</v>
      </c>
      <c r="E129" s="1113" t="str">
        <f>IF($A129&lt;DATE(2018,7,1),"-",INDEX('I1 - Universal Data'!$E$16:$V$16, MATCH(YEAR(EOMONTH($A129,6)), 'I1 - Universal Data'!$E$14:$V$14, 0)))</f>
        <v>-</v>
      </c>
      <c r="F129" s="1113" t="str">
        <f>IF($A129&lt;DATE(2018,7,1),"-",INDEX('I1 - Universal Data'!$E$15:$V$15, MATCH(YEAR(EOMONTH($A129,6)), 'I1 - Universal Data'!$E$14:$V$14, 0)))</f>
        <v>-</v>
      </c>
      <c r="G129" s="1114">
        <f t="shared" si="11"/>
        <v>88</v>
      </c>
      <c r="H129" s="1114">
        <f t="shared" si="11"/>
        <v>213.4</v>
      </c>
      <c r="U129" s="1102"/>
    </row>
    <row r="130" spans="1:21">
      <c r="A130" s="1111">
        <f t="shared" si="8"/>
        <v>40056</v>
      </c>
      <c r="B130" s="1112">
        <f t="shared" si="6"/>
        <v>2010</v>
      </c>
      <c r="C130" s="1279">
        <v>88.3</v>
      </c>
      <c r="D130" s="1279">
        <v>214.4</v>
      </c>
      <c r="E130" s="1113" t="str">
        <f>IF($A130&lt;DATE(2018,7,1),"-",INDEX('I1 - Universal Data'!$E$16:$V$16, MATCH(YEAR(EOMONTH($A130,6)), 'I1 - Universal Data'!$E$14:$V$14, 0)))</f>
        <v>-</v>
      </c>
      <c r="F130" s="1113" t="str">
        <f>IF($A130&lt;DATE(2018,7,1),"-",INDEX('I1 - Universal Data'!$E$15:$V$15, MATCH(YEAR(EOMONTH($A130,6)), 'I1 - Universal Data'!$E$14:$V$14, 0)))</f>
        <v>-</v>
      </c>
      <c r="G130" s="1114">
        <f t="shared" si="11"/>
        <v>88.3</v>
      </c>
      <c r="H130" s="1114">
        <f t="shared" si="11"/>
        <v>214.4</v>
      </c>
      <c r="U130" s="1102"/>
    </row>
    <row r="131" spans="1:21">
      <c r="A131" s="1111">
        <f t="shared" si="8"/>
        <v>40086</v>
      </c>
      <c r="B131" s="1112">
        <f t="shared" si="6"/>
        <v>2010</v>
      </c>
      <c r="C131" s="1279">
        <v>88.3</v>
      </c>
      <c r="D131" s="1279">
        <v>215.3</v>
      </c>
      <c r="E131" s="1113" t="str">
        <f>IF($A131&lt;DATE(2018,7,1),"-",INDEX('I1 - Universal Data'!$E$16:$V$16, MATCH(YEAR(EOMONTH($A131,6)), 'I1 - Universal Data'!$E$14:$V$14, 0)))</f>
        <v>-</v>
      </c>
      <c r="F131" s="1113" t="str">
        <f>IF($A131&lt;DATE(2018,7,1),"-",INDEX('I1 - Universal Data'!$E$15:$V$15, MATCH(YEAR(EOMONTH($A131,6)), 'I1 - Universal Data'!$E$14:$V$14, 0)))</f>
        <v>-</v>
      </c>
      <c r="G131" s="1114">
        <f t="shared" si="11"/>
        <v>88.3</v>
      </c>
      <c r="H131" s="1114">
        <f t="shared" si="11"/>
        <v>215.3</v>
      </c>
      <c r="U131" s="1102"/>
    </row>
    <row r="132" spans="1:21">
      <c r="A132" s="1111">
        <f t="shared" si="8"/>
        <v>40117</v>
      </c>
      <c r="B132" s="1112">
        <f t="shared" si="6"/>
        <v>2010</v>
      </c>
      <c r="C132" s="1279">
        <v>88.4</v>
      </c>
      <c r="D132" s="1279">
        <v>216</v>
      </c>
      <c r="E132" s="1113" t="str">
        <f>IF($A132&lt;DATE(2018,7,1),"-",INDEX('I1 - Universal Data'!$E$16:$V$16, MATCH(YEAR(EOMONTH($A132,6)), 'I1 - Universal Data'!$E$14:$V$14, 0)))</f>
        <v>-</v>
      </c>
      <c r="F132" s="1113" t="str">
        <f>IF($A132&lt;DATE(2018,7,1),"-",INDEX('I1 - Universal Data'!$E$15:$V$15, MATCH(YEAR(EOMONTH($A132,6)), 'I1 - Universal Data'!$E$14:$V$14, 0)))</f>
        <v>-</v>
      </c>
      <c r="G132" s="1114">
        <f t="shared" si="11"/>
        <v>88.4</v>
      </c>
      <c r="H132" s="1114">
        <f t="shared" si="11"/>
        <v>216</v>
      </c>
      <c r="U132" s="1102"/>
    </row>
    <row r="133" spans="1:21">
      <c r="A133" s="1111">
        <f t="shared" si="8"/>
        <v>40147</v>
      </c>
      <c r="B133" s="1112">
        <f t="shared" si="6"/>
        <v>2010</v>
      </c>
      <c r="C133" s="1279">
        <v>88.6</v>
      </c>
      <c r="D133" s="1279">
        <v>216.6</v>
      </c>
      <c r="E133" s="1113" t="str">
        <f>IF($A133&lt;DATE(2018,7,1),"-",INDEX('I1 - Universal Data'!$E$16:$V$16, MATCH(YEAR(EOMONTH($A133,6)), 'I1 - Universal Data'!$E$14:$V$14, 0)))</f>
        <v>-</v>
      </c>
      <c r="F133" s="1113" t="str">
        <f>IF($A133&lt;DATE(2018,7,1),"-",INDEX('I1 - Universal Data'!$E$15:$V$15, MATCH(YEAR(EOMONTH($A133,6)), 'I1 - Universal Data'!$E$14:$V$14, 0)))</f>
        <v>-</v>
      </c>
      <c r="G133" s="1114">
        <f t="shared" si="11"/>
        <v>88.6</v>
      </c>
      <c r="H133" s="1114">
        <f t="shared" si="11"/>
        <v>216.6</v>
      </c>
      <c r="U133" s="1102"/>
    </row>
    <row r="134" spans="1:21">
      <c r="A134" s="1111">
        <f t="shared" si="8"/>
        <v>40178</v>
      </c>
      <c r="B134" s="1112">
        <f t="shared" ref="B134:B197" si="12">IF(MONTH(A134)&gt;=4,YEAR(A134)+1,YEAR(A134))</f>
        <v>2010</v>
      </c>
      <c r="C134" s="1279">
        <v>88.9</v>
      </c>
      <c r="D134" s="1279">
        <v>218</v>
      </c>
      <c r="E134" s="1113" t="str">
        <f>IF($A134&lt;DATE(2018,7,1),"-",INDEX('I1 - Universal Data'!$E$16:$V$16, MATCH(YEAR(EOMONTH($A134,6)), 'I1 - Universal Data'!$E$14:$V$14, 0)))</f>
        <v>-</v>
      </c>
      <c r="F134" s="1113" t="str">
        <f>IF($A134&lt;DATE(2018,7,1),"-",INDEX('I1 - Universal Data'!$E$15:$V$15, MATCH(YEAR(EOMONTH($A134,6)), 'I1 - Universal Data'!$E$14:$V$14, 0)))</f>
        <v>-</v>
      </c>
      <c r="G134" s="1114">
        <f t="shared" ref="G134:H149" si="13">IF(ISBLANK(C134),G133*((1+E134)^(1/12)),C134)</f>
        <v>88.9</v>
      </c>
      <c r="H134" s="1114">
        <f t="shared" si="13"/>
        <v>218</v>
      </c>
      <c r="U134" s="1102"/>
    </row>
    <row r="135" spans="1:21">
      <c r="A135" s="1111">
        <f t="shared" ref="A135:A198" si="14">IF(MONTH(A134) = 12, EOMONTH(DATE(YEAR(A134) + 1, 1, 1), 0), EOMONTH(DATE(YEAR(A134), MONTH(A134) + 1, 1), 0))</f>
        <v>40209</v>
      </c>
      <c r="B135" s="1112">
        <f t="shared" si="12"/>
        <v>2010</v>
      </c>
      <c r="C135" s="1279">
        <v>88.8</v>
      </c>
      <c r="D135" s="1279">
        <v>217.9</v>
      </c>
      <c r="E135" s="1113" t="str">
        <f>IF($A135&lt;DATE(2018,7,1),"-",INDEX('I1 - Universal Data'!$E$16:$V$16, MATCH(YEAR(EOMONTH($A135,6)), 'I1 - Universal Data'!$E$14:$V$14, 0)))</f>
        <v>-</v>
      </c>
      <c r="F135" s="1113" t="str">
        <f>IF($A135&lt;DATE(2018,7,1),"-",INDEX('I1 - Universal Data'!$E$15:$V$15, MATCH(YEAR(EOMONTH($A135,6)), 'I1 - Universal Data'!$E$14:$V$14, 0)))</f>
        <v>-</v>
      </c>
      <c r="G135" s="1114">
        <f t="shared" si="13"/>
        <v>88.8</v>
      </c>
      <c r="H135" s="1114">
        <f t="shared" si="13"/>
        <v>217.9</v>
      </c>
      <c r="U135" s="1102"/>
    </row>
    <row r="136" spans="1:21">
      <c r="A136" s="1111">
        <f t="shared" si="14"/>
        <v>40237</v>
      </c>
      <c r="B136" s="1112">
        <f t="shared" si="12"/>
        <v>2010</v>
      </c>
      <c r="C136" s="1279">
        <v>89</v>
      </c>
      <c r="D136" s="1279">
        <v>219.2</v>
      </c>
      <c r="E136" s="1113" t="str">
        <f>IF($A136&lt;DATE(2018,7,1),"-",INDEX('I1 - Universal Data'!$E$16:$V$16, MATCH(YEAR(EOMONTH($A136,6)), 'I1 - Universal Data'!$E$14:$V$14, 0)))</f>
        <v>-</v>
      </c>
      <c r="F136" s="1113" t="str">
        <f>IF($A136&lt;DATE(2018,7,1),"-",INDEX('I1 - Universal Data'!$E$15:$V$15, MATCH(YEAR(EOMONTH($A136,6)), 'I1 - Universal Data'!$E$14:$V$14, 0)))</f>
        <v>-</v>
      </c>
      <c r="G136" s="1114">
        <f t="shared" si="13"/>
        <v>89</v>
      </c>
      <c r="H136" s="1114">
        <f t="shared" si="13"/>
        <v>219.2</v>
      </c>
      <c r="U136" s="1102"/>
    </row>
    <row r="137" spans="1:21">
      <c r="A137" s="1111">
        <f t="shared" si="14"/>
        <v>40268</v>
      </c>
      <c r="B137" s="1112">
        <f t="shared" si="12"/>
        <v>2010</v>
      </c>
      <c r="C137" s="1279">
        <v>89.4</v>
      </c>
      <c r="D137" s="1279">
        <v>220.7</v>
      </c>
      <c r="E137" s="1113" t="str">
        <f>IF($A137&lt;DATE(2018,7,1),"-",INDEX('I1 - Universal Data'!$E$16:$V$16, MATCH(YEAR(EOMONTH($A137,6)), 'I1 - Universal Data'!$E$14:$V$14, 0)))</f>
        <v>-</v>
      </c>
      <c r="F137" s="1113" t="str">
        <f>IF($A137&lt;DATE(2018,7,1),"-",INDEX('I1 - Universal Data'!$E$15:$V$15, MATCH(YEAR(EOMONTH($A137,6)), 'I1 - Universal Data'!$E$14:$V$14, 0)))</f>
        <v>-</v>
      </c>
      <c r="G137" s="1114">
        <f t="shared" si="13"/>
        <v>89.4</v>
      </c>
      <c r="H137" s="1114">
        <f t="shared" si="13"/>
        <v>220.7</v>
      </c>
      <c r="U137" s="1102"/>
    </row>
    <row r="138" spans="1:21">
      <c r="A138" s="1111">
        <f t="shared" si="14"/>
        <v>40298</v>
      </c>
      <c r="B138" s="1112">
        <f t="shared" si="12"/>
        <v>2011</v>
      </c>
      <c r="C138" s="1279">
        <v>89.9</v>
      </c>
      <c r="D138" s="1279">
        <v>222.8</v>
      </c>
      <c r="E138" s="1113" t="str">
        <f>IF($A138&lt;DATE(2018,7,1),"-",INDEX('I1 - Universal Data'!$E$16:$V$16, MATCH(YEAR(EOMONTH($A138,6)), 'I1 - Universal Data'!$E$14:$V$14, 0)))</f>
        <v>-</v>
      </c>
      <c r="F138" s="1113" t="str">
        <f>IF($A138&lt;DATE(2018,7,1),"-",INDEX('I1 - Universal Data'!$E$15:$V$15, MATCH(YEAR(EOMONTH($A138,6)), 'I1 - Universal Data'!$E$14:$V$14, 0)))</f>
        <v>-</v>
      </c>
      <c r="G138" s="1114">
        <f t="shared" si="13"/>
        <v>89.9</v>
      </c>
      <c r="H138" s="1114">
        <f t="shared" si="13"/>
        <v>222.8</v>
      </c>
      <c r="U138" s="1102"/>
    </row>
    <row r="139" spans="1:21">
      <c r="A139" s="1111">
        <f t="shared" si="14"/>
        <v>40329</v>
      </c>
      <c r="B139" s="1112">
        <f t="shared" si="12"/>
        <v>2011</v>
      </c>
      <c r="C139" s="1279">
        <v>90.1</v>
      </c>
      <c r="D139" s="1279">
        <v>223.6</v>
      </c>
      <c r="E139" s="1113" t="str">
        <f>IF($A139&lt;DATE(2018,7,1),"-",INDEX('I1 - Universal Data'!$E$16:$V$16, MATCH(YEAR(EOMONTH($A139,6)), 'I1 - Universal Data'!$E$14:$V$14, 0)))</f>
        <v>-</v>
      </c>
      <c r="F139" s="1113" t="str">
        <f>IF($A139&lt;DATE(2018,7,1),"-",INDEX('I1 - Universal Data'!$E$15:$V$15, MATCH(YEAR(EOMONTH($A139,6)), 'I1 - Universal Data'!$E$14:$V$14, 0)))</f>
        <v>-</v>
      </c>
      <c r="G139" s="1114">
        <f t="shared" si="13"/>
        <v>90.1</v>
      </c>
      <c r="H139" s="1114">
        <f t="shared" si="13"/>
        <v>223.6</v>
      </c>
      <c r="U139" s="1102"/>
    </row>
    <row r="140" spans="1:21">
      <c r="A140" s="1111">
        <f t="shared" si="14"/>
        <v>40359</v>
      </c>
      <c r="B140" s="1112">
        <f t="shared" si="12"/>
        <v>2011</v>
      </c>
      <c r="C140" s="1279">
        <v>90.2</v>
      </c>
      <c r="D140" s="1279">
        <v>224.1</v>
      </c>
      <c r="E140" s="1113" t="str">
        <f>IF($A140&lt;DATE(2018,7,1),"-",INDEX('I1 - Universal Data'!$E$16:$V$16, MATCH(YEAR(EOMONTH($A140,6)), 'I1 - Universal Data'!$E$14:$V$14, 0)))</f>
        <v>-</v>
      </c>
      <c r="F140" s="1113" t="str">
        <f>IF($A140&lt;DATE(2018,7,1),"-",INDEX('I1 - Universal Data'!$E$15:$V$15, MATCH(YEAR(EOMONTH($A140,6)), 'I1 - Universal Data'!$E$14:$V$14, 0)))</f>
        <v>-</v>
      </c>
      <c r="G140" s="1114">
        <f t="shared" si="13"/>
        <v>90.2</v>
      </c>
      <c r="H140" s="1114">
        <f t="shared" si="13"/>
        <v>224.1</v>
      </c>
      <c r="U140" s="1102"/>
    </row>
    <row r="141" spans="1:21">
      <c r="A141" s="1111">
        <f t="shared" si="14"/>
        <v>40390</v>
      </c>
      <c r="B141" s="1112">
        <f t="shared" si="12"/>
        <v>2011</v>
      </c>
      <c r="C141" s="1279">
        <v>90</v>
      </c>
      <c r="D141" s="1279">
        <v>223.6</v>
      </c>
      <c r="E141" s="1113" t="str">
        <f>IF($A141&lt;DATE(2018,7,1),"-",INDEX('I1 - Universal Data'!$E$16:$V$16, MATCH(YEAR(EOMONTH($A141,6)), 'I1 - Universal Data'!$E$14:$V$14, 0)))</f>
        <v>-</v>
      </c>
      <c r="F141" s="1113" t="str">
        <f>IF($A141&lt;DATE(2018,7,1),"-",INDEX('I1 - Universal Data'!$E$15:$V$15, MATCH(YEAR(EOMONTH($A141,6)), 'I1 - Universal Data'!$E$14:$V$14, 0)))</f>
        <v>-</v>
      </c>
      <c r="G141" s="1114">
        <f t="shared" si="13"/>
        <v>90</v>
      </c>
      <c r="H141" s="1114">
        <f t="shared" si="13"/>
        <v>223.6</v>
      </c>
      <c r="U141" s="1102"/>
    </row>
    <row r="142" spans="1:21">
      <c r="A142" s="1111">
        <f t="shared" si="14"/>
        <v>40421</v>
      </c>
      <c r="B142" s="1112">
        <f t="shared" si="12"/>
        <v>2011</v>
      </c>
      <c r="C142" s="1279">
        <v>90.4</v>
      </c>
      <c r="D142" s="1279">
        <v>224.5</v>
      </c>
      <c r="E142" s="1113" t="str">
        <f>IF($A142&lt;DATE(2018,7,1),"-",INDEX('I1 - Universal Data'!$E$16:$V$16, MATCH(YEAR(EOMONTH($A142,6)), 'I1 - Universal Data'!$E$14:$V$14, 0)))</f>
        <v>-</v>
      </c>
      <c r="F142" s="1113" t="str">
        <f>IF($A142&lt;DATE(2018,7,1),"-",INDEX('I1 - Universal Data'!$E$15:$V$15, MATCH(YEAR(EOMONTH($A142,6)), 'I1 - Universal Data'!$E$14:$V$14, 0)))</f>
        <v>-</v>
      </c>
      <c r="G142" s="1114">
        <f t="shared" si="13"/>
        <v>90.4</v>
      </c>
      <c r="H142" s="1114">
        <f t="shared" si="13"/>
        <v>224.5</v>
      </c>
      <c r="U142" s="1102"/>
    </row>
    <row r="143" spans="1:21">
      <c r="A143" s="1111">
        <f t="shared" si="14"/>
        <v>40451</v>
      </c>
      <c r="B143" s="1112">
        <f t="shared" si="12"/>
        <v>2011</v>
      </c>
      <c r="C143" s="1279">
        <v>90.4</v>
      </c>
      <c r="D143" s="1279">
        <v>225.3</v>
      </c>
      <c r="E143" s="1113" t="str">
        <f>IF($A143&lt;DATE(2018,7,1),"-",INDEX('I1 - Universal Data'!$E$16:$V$16, MATCH(YEAR(EOMONTH($A143,6)), 'I1 - Universal Data'!$E$14:$V$14, 0)))</f>
        <v>-</v>
      </c>
      <c r="F143" s="1113" t="str">
        <f>IF($A143&lt;DATE(2018,7,1),"-",INDEX('I1 - Universal Data'!$E$15:$V$15, MATCH(YEAR(EOMONTH($A143,6)), 'I1 - Universal Data'!$E$14:$V$14, 0)))</f>
        <v>-</v>
      </c>
      <c r="G143" s="1114">
        <f t="shared" si="13"/>
        <v>90.4</v>
      </c>
      <c r="H143" s="1114">
        <f t="shared" si="13"/>
        <v>225.3</v>
      </c>
      <c r="U143" s="1102"/>
    </row>
    <row r="144" spans="1:21">
      <c r="A144" s="1111">
        <f t="shared" si="14"/>
        <v>40482</v>
      </c>
      <c r="B144" s="1112">
        <f t="shared" si="12"/>
        <v>2011</v>
      </c>
      <c r="C144" s="1279">
        <v>90.6</v>
      </c>
      <c r="D144" s="1279">
        <v>225.8</v>
      </c>
      <c r="E144" s="1113" t="str">
        <f>IF($A144&lt;DATE(2018,7,1),"-",INDEX('I1 - Universal Data'!$E$16:$V$16, MATCH(YEAR(EOMONTH($A144,6)), 'I1 - Universal Data'!$E$14:$V$14, 0)))</f>
        <v>-</v>
      </c>
      <c r="F144" s="1113" t="str">
        <f>IF($A144&lt;DATE(2018,7,1),"-",INDEX('I1 - Universal Data'!$E$15:$V$15, MATCH(YEAR(EOMONTH($A144,6)), 'I1 - Universal Data'!$E$14:$V$14, 0)))</f>
        <v>-</v>
      </c>
      <c r="G144" s="1114">
        <f t="shared" si="13"/>
        <v>90.6</v>
      </c>
      <c r="H144" s="1114">
        <f t="shared" si="13"/>
        <v>225.8</v>
      </c>
      <c r="U144" s="1102"/>
    </row>
    <row r="145" spans="1:21">
      <c r="A145" s="1111">
        <f t="shared" si="14"/>
        <v>40512</v>
      </c>
      <c r="B145" s="1112">
        <f t="shared" si="12"/>
        <v>2011</v>
      </c>
      <c r="C145" s="1279">
        <v>90.9</v>
      </c>
      <c r="D145" s="1279">
        <v>226.8</v>
      </c>
      <c r="E145" s="1113" t="str">
        <f>IF($A145&lt;DATE(2018,7,1),"-",INDEX('I1 - Universal Data'!$E$16:$V$16, MATCH(YEAR(EOMONTH($A145,6)), 'I1 - Universal Data'!$E$14:$V$14, 0)))</f>
        <v>-</v>
      </c>
      <c r="F145" s="1113" t="str">
        <f>IF($A145&lt;DATE(2018,7,1),"-",INDEX('I1 - Universal Data'!$E$15:$V$15, MATCH(YEAR(EOMONTH($A145,6)), 'I1 - Universal Data'!$E$14:$V$14, 0)))</f>
        <v>-</v>
      </c>
      <c r="G145" s="1114">
        <f t="shared" si="13"/>
        <v>90.9</v>
      </c>
      <c r="H145" s="1114">
        <f t="shared" si="13"/>
        <v>226.8</v>
      </c>
      <c r="U145" s="1102"/>
    </row>
    <row r="146" spans="1:21">
      <c r="A146" s="1111">
        <f t="shared" si="14"/>
        <v>40543</v>
      </c>
      <c r="B146" s="1112">
        <f t="shared" si="12"/>
        <v>2011</v>
      </c>
      <c r="C146" s="1279">
        <v>91.7</v>
      </c>
      <c r="D146" s="1279">
        <v>228.4</v>
      </c>
      <c r="E146" s="1113" t="str">
        <f>IF($A146&lt;DATE(2018,7,1),"-",INDEX('I1 - Universal Data'!$E$16:$V$16, MATCH(YEAR(EOMONTH($A146,6)), 'I1 - Universal Data'!$E$14:$V$14, 0)))</f>
        <v>-</v>
      </c>
      <c r="F146" s="1113" t="str">
        <f>IF($A146&lt;DATE(2018,7,1),"-",INDEX('I1 - Universal Data'!$E$15:$V$15, MATCH(YEAR(EOMONTH($A146,6)), 'I1 - Universal Data'!$E$14:$V$14, 0)))</f>
        <v>-</v>
      </c>
      <c r="G146" s="1114">
        <f t="shared" si="13"/>
        <v>91.7</v>
      </c>
      <c r="H146" s="1114">
        <f t="shared" si="13"/>
        <v>228.4</v>
      </c>
      <c r="U146" s="1102"/>
    </row>
    <row r="147" spans="1:21">
      <c r="A147" s="1111">
        <f t="shared" si="14"/>
        <v>40574</v>
      </c>
      <c r="B147" s="1112">
        <f t="shared" si="12"/>
        <v>2011</v>
      </c>
      <c r="C147" s="1279">
        <v>91.8</v>
      </c>
      <c r="D147" s="1279">
        <v>229</v>
      </c>
      <c r="E147" s="1113" t="str">
        <f>IF($A147&lt;DATE(2018,7,1),"-",INDEX('I1 - Universal Data'!$E$16:$V$16, MATCH(YEAR(EOMONTH($A147,6)), 'I1 - Universal Data'!$E$14:$V$14, 0)))</f>
        <v>-</v>
      </c>
      <c r="F147" s="1113" t="str">
        <f>IF($A147&lt;DATE(2018,7,1),"-",INDEX('I1 - Universal Data'!$E$15:$V$15, MATCH(YEAR(EOMONTH($A147,6)), 'I1 - Universal Data'!$E$14:$V$14, 0)))</f>
        <v>-</v>
      </c>
      <c r="G147" s="1114">
        <f t="shared" si="13"/>
        <v>91.8</v>
      </c>
      <c r="H147" s="1114">
        <f t="shared" si="13"/>
        <v>229</v>
      </c>
      <c r="U147" s="1102"/>
    </row>
    <row r="148" spans="1:21">
      <c r="A148" s="1111">
        <f t="shared" si="14"/>
        <v>40602</v>
      </c>
      <c r="B148" s="1112">
        <f t="shared" si="12"/>
        <v>2011</v>
      </c>
      <c r="C148" s="1279">
        <v>92.3</v>
      </c>
      <c r="D148" s="1279">
        <v>231.3</v>
      </c>
      <c r="E148" s="1113" t="str">
        <f>IF($A148&lt;DATE(2018,7,1),"-",INDEX('I1 - Universal Data'!$E$16:$V$16, MATCH(YEAR(EOMONTH($A148,6)), 'I1 - Universal Data'!$E$14:$V$14, 0)))</f>
        <v>-</v>
      </c>
      <c r="F148" s="1113" t="str">
        <f>IF($A148&lt;DATE(2018,7,1),"-",INDEX('I1 - Universal Data'!$E$15:$V$15, MATCH(YEAR(EOMONTH($A148,6)), 'I1 - Universal Data'!$E$14:$V$14, 0)))</f>
        <v>-</v>
      </c>
      <c r="G148" s="1114">
        <f t="shared" si="13"/>
        <v>92.3</v>
      </c>
      <c r="H148" s="1114">
        <f t="shared" si="13"/>
        <v>231.3</v>
      </c>
      <c r="U148" s="1102"/>
    </row>
    <row r="149" spans="1:21">
      <c r="A149" s="1111">
        <f t="shared" si="14"/>
        <v>40633</v>
      </c>
      <c r="B149" s="1112">
        <f t="shared" si="12"/>
        <v>2011</v>
      </c>
      <c r="C149" s="1279">
        <v>92.6</v>
      </c>
      <c r="D149" s="1279">
        <v>232.5</v>
      </c>
      <c r="E149" s="1113" t="str">
        <f>IF($A149&lt;DATE(2018,7,1),"-",INDEX('I1 - Universal Data'!$E$16:$V$16, MATCH(YEAR(EOMONTH($A149,6)), 'I1 - Universal Data'!$E$14:$V$14, 0)))</f>
        <v>-</v>
      </c>
      <c r="F149" s="1113" t="str">
        <f>IF($A149&lt;DATE(2018,7,1),"-",INDEX('I1 - Universal Data'!$E$15:$V$15, MATCH(YEAR(EOMONTH($A149,6)), 'I1 - Universal Data'!$E$14:$V$14, 0)))</f>
        <v>-</v>
      </c>
      <c r="G149" s="1114">
        <f t="shared" si="13"/>
        <v>92.6</v>
      </c>
      <c r="H149" s="1114">
        <f t="shared" si="13"/>
        <v>232.5</v>
      </c>
      <c r="U149" s="1102"/>
    </row>
    <row r="150" spans="1:21">
      <c r="A150" s="1111">
        <f t="shared" si="14"/>
        <v>40663</v>
      </c>
      <c r="B150" s="1112">
        <f t="shared" si="12"/>
        <v>2012</v>
      </c>
      <c r="C150" s="1279">
        <v>93.3</v>
      </c>
      <c r="D150" s="1279">
        <v>234.4</v>
      </c>
      <c r="E150" s="1113" t="str">
        <f>IF($A150&lt;DATE(2018,7,1),"-",INDEX('I1 - Universal Data'!$E$16:$V$16, MATCH(YEAR(EOMONTH($A150,6)), 'I1 - Universal Data'!$E$14:$V$14, 0)))</f>
        <v>-</v>
      </c>
      <c r="F150" s="1113" t="str">
        <f>IF($A150&lt;DATE(2018,7,1),"-",INDEX('I1 - Universal Data'!$E$15:$V$15, MATCH(YEAR(EOMONTH($A150,6)), 'I1 - Universal Data'!$E$14:$V$14, 0)))</f>
        <v>-</v>
      </c>
      <c r="G150" s="1114">
        <f t="shared" ref="G150:H165" si="15">IF(ISBLANK(C150),G149*((1+E150)^(1/12)),C150)</f>
        <v>93.3</v>
      </c>
      <c r="H150" s="1114">
        <f t="shared" si="15"/>
        <v>234.4</v>
      </c>
      <c r="U150" s="1102"/>
    </row>
    <row r="151" spans="1:21">
      <c r="A151" s="1111">
        <f t="shared" si="14"/>
        <v>40694</v>
      </c>
      <c r="B151" s="1112">
        <f t="shared" si="12"/>
        <v>2012</v>
      </c>
      <c r="C151" s="1279">
        <v>93.5</v>
      </c>
      <c r="D151" s="1279">
        <v>235.2</v>
      </c>
      <c r="E151" s="1113" t="str">
        <f>IF($A151&lt;DATE(2018,7,1),"-",INDEX('I1 - Universal Data'!$E$16:$V$16, MATCH(YEAR(EOMONTH($A151,6)), 'I1 - Universal Data'!$E$14:$V$14, 0)))</f>
        <v>-</v>
      </c>
      <c r="F151" s="1113" t="str">
        <f>IF($A151&lt;DATE(2018,7,1),"-",INDEX('I1 - Universal Data'!$E$15:$V$15, MATCH(YEAR(EOMONTH($A151,6)), 'I1 - Universal Data'!$E$14:$V$14, 0)))</f>
        <v>-</v>
      </c>
      <c r="G151" s="1114">
        <f t="shared" si="15"/>
        <v>93.5</v>
      </c>
      <c r="H151" s="1114">
        <f t="shared" si="15"/>
        <v>235.2</v>
      </c>
      <c r="U151" s="1102"/>
    </row>
    <row r="152" spans="1:21">
      <c r="A152" s="1111">
        <f t="shared" si="14"/>
        <v>40724</v>
      </c>
      <c r="B152" s="1112">
        <f t="shared" si="12"/>
        <v>2012</v>
      </c>
      <c r="C152" s="1279">
        <v>93.5</v>
      </c>
      <c r="D152" s="1279">
        <v>235.2</v>
      </c>
      <c r="E152" s="1113" t="str">
        <f>IF($A152&lt;DATE(2018,7,1),"-",INDEX('I1 - Universal Data'!$E$16:$V$16, MATCH(YEAR(EOMONTH($A152,6)), 'I1 - Universal Data'!$E$14:$V$14, 0)))</f>
        <v>-</v>
      </c>
      <c r="F152" s="1113" t="str">
        <f>IF($A152&lt;DATE(2018,7,1),"-",INDEX('I1 - Universal Data'!$E$15:$V$15, MATCH(YEAR(EOMONTH($A152,6)), 'I1 - Universal Data'!$E$14:$V$14, 0)))</f>
        <v>-</v>
      </c>
      <c r="G152" s="1114">
        <f t="shared" si="15"/>
        <v>93.5</v>
      </c>
      <c r="H152" s="1114">
        <f t="shared" si="15"/>
        <v>235.2</v>
      </c>
      <c r="U152" s="1102"/>
    </row>
    <row r="153" spans="1:21">
      <c r="A153" s="1111">
        <f t="shared" si="14"/>
        <v>40755</v>
      </c>
      <c r="B153" s="1112">
        <f t="shared" si="12"/>
        <v>2012</v>
      </c>
      <c r="C153" s="1279">
        <v>93.5</v>
      </c>
      <c r="D153" s="1279">
        <v>234.7</v>
      </c>
      <c r="E153" s="1113" t="str">
        <f>IF($A153&lt;DATE(2018,7,1),"-",INDEX('I1 - Universal Data'!$E$16:$V$16, MATCH(YEAR(EOMONTH($A153,6)), 'I1 - Universal Data'!$E$14:$V$14, 0)))</f>
        <v>-</v>
      </c>
      <c r="F153" s="1113" t="str">
        <f>IF($A153&lt;DATE(2018,7,1),"-",INDEX('I1 - Universal Data'!$E$15:$V$15, MATCH(YEAR(EOMONTH($A153,6)), 'I1 - Universal Data'!$E$14:$V$14, 0)))</f>
        <v>-</v>
      </c>
      <c r="G153" s="1114">
        <f t="shared" si="15"/>
        <v>93.5</v>
      </c>
      <c r="H153" s="1114">
        <f t="shared" si="15"/>
        <v>234.7</v>
      </c>
      <c r="U153" s="1102"/>
    </row>
    <row r="154" spans="1:21">
      <c r="A154" s="1111">
        <f t="shared" si="14"/>
        <v>40786</v>
      </c>
      <c r="B154" s="1112">
        <f t="shared" si="12"/>
        <v>2012</v>
      </c>
      <c r="C154" s="1279">
        <v>93.9</v>
      </c>
      <c r="D154" s="1279">
        <v>236.1</v>
      </c>
      <c r="E154" s="1113" t="str">
        <f>IF($A154&lt;DATE(2018,7,1),"-",INDEX('I1 - Universal Data'!$E$16:$V$16, MATCH(YEAR(EOMONTH($A154,6)), 'I1 - Universal Data'!$E$14:$V$14, 0)))</f>
        <v>-</v>
      </c>
      <c r="F154" s="1113" t="str">
        <f>IF($A154&lt;DATE(2018,7,1),"-",INDEX('I1 - Universal Data'!$E$15:$V$15, MATCH(YEAR(EOMONTH($A154,6)), 'I1 - Universal Data'!$E$14:$V$14, 0)))</f>
        <v>-</v>
      </c>
      <c r="G154" s="1114">
        <f t="shared" si="15"/>
        <v>93.9</v>
      </c>
      <c r="H154" s="1114">
        <f t="shared" si="15"/>
        <v>236.1</v>
      </c>
      <c r="U154" s="1102"/>
    </row>
    <row r="155" spans="1:21">
      <c r="A155" s="1111">
        <f t="shared" si="14"/>
        <v>40816</v>
      </c>
      <c r="B155" s="1112">
        <f t="shared" si="12"/>
        <v>2012</v>
      </c>
      <c r="C155" s="1279">
        <v>94.5</v>
      </c>
      <c r="D155" s="1279">
        <v>237.9</v>
      </c>
      <c r="E155" s="1113" t="str">
        <f>IF($A155&lt;DATE(2018,7,1),"-",INDEX('I1 - Universal Data'!$E$16:$V$16, MATCH(YEAR(EOMONTH($A155,6)), 'I1 - Universal Data'!$E$14:$V$14, 0)))</f>
        <v>-</v>
      </c>
      <c r="F155" s="1113" t="str">
        <f>IF($A155&lt;DATE(2018,7,1),"-",INDEX('I1 - Universal Data'!$E$15:$V$15, MATCH(YEAR(EOMONTH($A155,6)), 'I1 - Universal Data'!$E$14:$V$14, 0)))</f>
        <v>-</v>
      </c>
      <c r="G155" s="1114">
        <f t="shared" si="15"/>
        <v>94.5</v>
      </c>
      <c r="H155" s="1114">
        <f t="shared" si="15"/>
        <v>237.9</v>
      </c>
      <c r="U155" s="1102"/>
    </row>
    <row r="156" spans="1:21">
      <c r="A156" s="1111">
        <f t="shared" si="14"/>
        <v>40847</v>
      </c>
      <c r="B156" s="1112">
        <f t="shared" si="12"/>
        <v>2012</v>
      </c>
      <c r="C156" s="1279">
        <v>94.5</v>
      </c>
      <c r="D156" s="1279">
        <v>238</v>
      </c>
      <c r="E156" s="1113" t="str">
        <f>IF($A156&lt;DATE(2018,7,1),"-",INDEX('I1 - Universal Data'!$E$16:$V$16, MATCH(YEAR(EOMONTH($A156,6)), 'I1 - Universal Data'!$E$14:$V$14, 0)))</f>
        <v>-</v>
      </c>
      <c r="F156" s="1113" t="str">
        <f>IF($A156&lt;DATE(2018,7,1),"-",INDEX('I1 - Universal Data'!$E$15:$V$15, MATCH(YEAR(EOMONTH($A156,6)), 'I1 - Universal Data'!$E$14:$V$14, 0)))</f>
        <v>-</v>
      </c>
      <c r="G156" s="1114">
        <f t="shared" si="15"/>
        <v>94.5</v>
      </c>
      <c r="H156" s="1114">
        <f t="shared" si="15"/>
        <v>238</v>
      </c>
      <c r="U156" s="1102"/>
    </row>
    <row r="157" spans="1:21">
      <c r="A157" s="1111">
        <f t="shared" si="14"/>
        <v>40877</v>
      </c>
      <c r="B157" s="1112">
        <f t="shared" si="12"/>
        <v>2012</v>
      </c>
      <c r="C157" s="1279">
        <v>94.7</v>
      </c>
      <c r="D157" s="1279">
        <v>238.5</v>
      </c>
      <c r="E157" s="1113" t="str">
        <f>IF($A157&lt;DATE(2018,7,1),"-",INDEX('I1 - Universal Data'!$E$16:$V$16, MATCH(YEAR(EOMONTH($A157,6)), 'I1 - Universal Data'!$E$14:$V$14, 0)))</f>
        <v>-</v>
      </c>
      <c r="F157" s="1113" t="str">
        <f>IF($A157&lt;DATE(2018,7,1),"-",INDEX('I1 - Universal Data'!$E$15:$V$15, MATCH(YEAR(EOMONTH($A157,6)), 'I1 - Universal Data'!$E$14:$V$14, 0)))</f>
        <v>-</v>
      </c>
      <c r="G157" s="1114">
        <f t="shared" si="15"/>
        <v>94.7</v>
      </c>
      <c r="H157" s="1114">
        <f t="shared" si="15"/>
        <v>238.5</v>
      </c>
      <c r="U157" s="1102"/>
    </row>
    <row r="158" spans="1:21">
      <c r="A158" s="1111">
        <f t="shared" si="14"/>
        <v>40908</v>
      </c>
      <c r="B158" s="1112">
        <f t="shared" si="12"/>
        <v>2012</v>
      </c>
      <c r="C158" s="1279">
        <v>95</v>
      </c>
      <c r="D158" s="1279">
        <v>239.4</v>
      </c>
      <c r="E158" s="1113" t="str">
        <f>IF($A158&lt;DATE(2018,7,1),"-",INDEX('I1 - Universal Data'!$E$16:$V$16, MATCH(YEAR(EOMONTH($A158,6)), 'I1 - Universal Data'!$E$14:$V$14, 0)))</f>
        <v>-</v>
      </c>
      <c r="F158" s="1113" t="str">
        <f>IF($A158&lt;DATE(2018,7,1),"-",INDEX('I1 - Universal Data'!$E$15:$V$15, MATCH(YEAR(EOMONTH($A158,6)), 'I1 - Universal Data'!$E$14:$V$14, 0)))</f>
        <v>-</v>
      </c>
      <c r="G158" s="1114">
        <f t="shared" si="15"/>
        <v>95</v>
      </c>
      <c r="H158" s="1114">
        <f t="shared" si="15"/>
        <v>239.4</v>
      </c>
      <c r="U158" s="1102"/>
    </row>
    <row r="159" spans="1:21">
      <c r="A159" s="1111">
        <f t="shared" si="14"/>
        <v>40939</v>
      </c>
      <c r="B159" s="1112">
        <f t="shared" si="12"/>
        <v>2012</v>
      </c>
      <c r="C159" s="1279">
        <v>94.7</v>
      </c>
      <c r="D159" s="1279">
        <v>238</v>
      </c>
      <c r="E159" s="1113" t="str">
        <f>IF($A159&lt;DATE(2018,7,1),"-",INDEX('I1 - Universal Data'!$E$16:$V$16, MATCH(YEAR(EOMONTH($A159,6)), 'I1 - Universal Data'!$E$14:$V$14, 0)))</f>
        <v>-</v>
      </c>
      <c r="F159" s="1113" t="str">
        <f>IF($A159&lt;DATE(2018,7,1),"-",INDEX('I1 - Universal Data'!$E$15:$V$15, MATCH(YEAR(EOMONTH($A159,6)), 'I1 - Universal Data'!$E$14:$V$14, 0)))</f>
        <v>-</v>
      </c>
      <c r="G159" s="1114">
        <f t="shared" si="15"/>
        <v>94.7</v>
      </c>
      <c r="H159" s="1114">
        <f t="shared" si="15"/>
        <v>238</v>
      </c>
      <c r="U159" s="1102"/>
    </row>
    <row r="160" spans="1:21">
      <c r="A160" s="1111">
        <f t="shared" si="14"/>
        <v>40968</v>
      </c>
      <c r="B160" s="1112">
        <f t="shared" si="12"/>
        <v>2012</v>
      </c>
      <c r="C160" s="1279">
        <v>95.2</v>
      </c>
      <c r="D160" s="1279">
        <v>239.9</v>
      </c>
      <c r="E160" s="1113" t="str">
        <f>IF($A160&lt;DATE(2018,7,1),"-",INDEX('I1 - Universal Data'!$E$16:$V$16, MATCH(YEAR(EOMONTH($A160,6)), 'I1 - Universal Data'!$E$14:$V$14, 0)))</f>
        <v>-</v>
      </c>
      <c r="F160" s="1113" t="str">
        <f>IF($A160&lt;DATE(2018,7,1),"-",INDEX('I1 - Universal Data'!$E$15:$V$15, MATCH(YEAR(EOMONTH($A160,6)), 'I1 - Universal Data'!$E$14:$V$14, 0)))</f>
        <v>-</v>
      </c>
      <c r="G160" s="1114">
        <f t="shared" si="15"/>
        <v>95.2</v>
      </c>
      <c r="H160" s="1114">
        <f t="shared" si="15"/>
        <v>239.9</v>
      </c>
      <c r="U160" s="1102"/>
    </row>
    <row r="161" spans="1:21">
      <c r="A161" s="1111">
        <f t="shared" si="14"/>
        <v>40999</v>
      </c>
      <c r="B161" s="1112">
        <f t="shared" si="12"/>
        <v>2012</v>
      </c>
      <c r="C161" s="1279">
        <v>95.4</v>
      </c>
      <c r="D161" s="1279">
        <v>240.8</v>
      </c>
      <c r="E161" s="1113" t="str">
        <f>IF($A161&lt;DATE(2018,7,1),"-",INDEX('I1 - Universal Data'!$E$16:$V$16, MATCH(YEAR(EOMONTH($A161,6)), 'I1 - Universal Data'!$E$14:$V$14, 0)))</f>
        <v>-</v>
      </c>
      <c r="F161" s="1113" t="str">
        <f>IF($A161&lt;DATE(2018,7,1),"-",INDEX('I1 - Universal Data'!$E$15:$V$15, MATCH(YEAR(EOMONTH($A161,6)), 'I1 - Universal Data'!$E$14:$V$14, 0)))</f>
        <v>-</v>
      </c>
      <c r="G161" s="1114">
        <f t="shared" si="15"/>
        <v>95.4</v>
      </c>
      <c r="H161" s="1114">
        <f t="shared" si="15"/>
        <v>240.8</v>
      </c>
      <c r="U161" s="1102"/>
    </row>
    <row r="162" spans="1:21">
      <c r="A162" s="1111">
        <f t="shared" si="14"/>
        <v>41029</v>
      </c>
      <c r="B162" s="1112">
        <f t="shared" si="12"/>
        <v>2013</v>
      </c>
      <c r="C162" s="1279">
        <v>95.9</v>
      </c>
      <c r="D162" s="1279">
        <v>242.5</v>
      </c>
      <c r="E162" s="1113" t="str">
        <f>IF($A162&lt;DATE(2018,7,1),"-",INDEX('I1 - Universal Data'!$E$16:$V$16, MATCH(YEAR(EOMONTH($A162,6)), 'I1 - Universal Data'!$E$14:$V$14, 0)))</f>
        <v>-</v>
      </c>
      <c r="F162" s="1113" t="str">
        <f>IF($A162&lt;DATE(2018,7,1),"-",INDEX('I1 - Universal Data'!$E$15:$V$15, MATCH(YEAR(EOMONTH($A162,6)), 'I1 - Universal Data'!$E$14:$V$14, 0)))</f>
        <v>-</v>
      </c>
      <c r="G162" s="1114">
        <f t="shared" si="15"/>
        <v>95.9</v>
      </c>
      <c r="H162" s="1114">
        <f t="shared" si="15"/>
        <v>242.5</v>
      </c>
      <c r="U162" s="1102"/>
    </row>
    <row r="163" spans="1:21">
      <c r="A163" s="1111">
        <f t="shared" si="14"/>
        <v>41060</v>
      </c>
      <c r="B163" s="1112">
        <f t="shared" si="12"/>
        <v>2013</v>
      </c>
      <c r="C163" s="1279">
        <v>95.9</v>
      </c>
      <c r="D163" s="1279">
        <v>242.4</v>
      </c>
      <c r="E163" s="1113" t="str">
        <f>IF($A163&lt;DATE(2018,7,1),"-",INDEX('I1 - Universal Data'!$E$16:$V$16, MATCH(YEAR(EOMONTH($A163,6)), 'I1 - Universal Data'!$E$14:$V$14, 0)))</f>
        <v>-</v>
      </c>
      <c r="F163" s="1113" t="str">
        <f>IF($A163&lt;DATE(2018,7,1),"-",INDEX('I1 - Universal Data'!$E$15:$V$15, MATCH(YEAR(EOMONTH($A163,6)), 'I1 - Universal Data'!$E$14:$V$14, 0)))</f>
        <v>-</v>
      </c>
      <c r="G163" s="1114">
        <f t="shared" si="15"/>
        <v>95.9</v>
      </c>
      <c r="H163" s="1114">
        <f t="shared" si="15"/>
        <v>242.4</v>
      </c>
      <c r="U163" s="1102"/>
    </row>
    <row r="164" spans="1:21">
      <c r="A164" s="1111">
        <f t="shared" si="14"/>
        <v>41090</v>
      </c>
      <c r="B164" s="1112">
        <f t="shared" si="12"/>
        <v>2013</v>
      </c>
      <c r="C164" s="1279">
        <v>95.6</v>
      </c>
      <c r="D164" s="1279">
        <v>241.8</v>
      </c>
      <c r="E164" s="1113" t="str">
        <f>IF($A164&lt;DATE(2018,7,1),"-",INDEX('I1 - Universal Data'!$E$16:$V$16, MATCH(YEAR(EOMONTH($A164,6)), 'I1 - Universal Data'!$E$14:$V$14, 0)))</f>
        <v>-</v>
      </c>
      <c r="F164" s="1113" t="str">
        <f>IF($A164&lt;DATE(2018,7,1),"-",INDEX('I1 - Universal Data'!$E$15:$V$15, MATCH(YEAR(EOMONTH($A164,6)), 'I1 - Universal Data'!$E$14:$V$14, 0)))</f>
        <v>-</v>
      </c>
      <c r="G164" s="1114">
        <f t="shared" si="15"/>
        <v>95.6</v>
      </c>
      <c r="H164" s="1114">
        <f t="shared" si="15"/>
        <v>241.8</v>
      </c>
      <c r="U164" s="1102"/>
    </row>
    <row r="165" spans="1:21">
      <c r="A165" s="1111">
        <f t="shared" si="14"/>
        <v>41121</v>
      </c>
      <c r="B165" s="1112">
        <f t="shared" si="12"/>
        <v>2013</v>
      </c>
      <c r="C165" s="1279">
        <v>95.7</v>
      </c>
      <c r="D165" s="1279">
        <v>242.1</v>
      </c>
      <c r="E165" s="1113" t="str">
        <f>IF($A165&lt;DATE(2018,7,1),"-",INDEX('I1 - Universal Data'!$E$16:$V$16, MATCH(YEAR(EOMONTH($A165,6)), 'I1 - Universal Data'!$E$14:$V$14, 0)))</f>
        <v>-</v>
      </c>
      <c r="F165" s="1113" t="str">
        <f>IF($A165&lt;DATE(2018,7,1),"-",INDEX('I1 - Universal Data'!$E$15:$V$15, MATCH(YEAR(EOMONTH($A165,6)), 'I1 - Universal Data'!$E$14:$V$14, 0)))</f>
        <v>-</v>
      </c>
      <c r="G165" s="1114">
        <f t="shared" si="15"/>
        <v>95.7</v>
      </c>
      <c r="H165" s="1114">
        <f t="shared" si="15"/>
        <v>242.1</v>
      </c>
      <c r="U165" s="1102"/>
    </row>
    <row r="166" spans="1:21">
      <c r="A166" s="1111">
        <f t="shared" si="14"/>
        <v>41152</v>
      </c>
      <c r="B166" s="1112">
        <f t="shared" si="12"/>
        <v>2013</v>
      </c>
      <c r="C166" s="1279">
        <v>96.1</v>
      </c>
      <c r="D166" s="1279">
        <v>243</v>
      </c>
      <c r="E166" s="1113" t="str">
        <f>IF($A166&lt;DATE(2018,7,1),"-",INDEX('I1 - Universal Data'!$E$16:$V$16, MATCH(YEAR(EOMONTH($A166,6)), 'I1 - Universal Data'!$E$14:$V$14, 0)))</f>
        <v>-</v>
      </c>
      <c r="F166" s="1113" t="str">
        <f>IF($A166&lt;DATE(2018,7,1),"-",INDEX('I1 - Universal Data'!$E$15:$V$15, MATCH(YEAR(EOMONTH($A166,6)), 'I1 - Universal Data'!$E$14:$V$14, 0)))</f>
        <v>-</v>
      </c>
      <c r="G166" s="1114">
        <f t="shared" ref="G166:H181" si="16">IF(ISBLANK(C166),G165*((1+E166)^(1/12)),C166)</f>
        <v>96.1</v>
      </c>
      <c r="H166" s="1114">
        <f t="shared" si="16"/>
        <v>243</v>
      </c>
      <c r="U166" s="1102"/>
    </row>
    <row r="167" spans="1:21">
      <c r="A167" s="1111">
        <f t="shared" si="14"/>
        <v>41182</v>
      </c>
      <c r="B167" s="1112">
        <f t="shared" si="12"/>
        <v>2013</v>
      </c>
      <c r="C167" s="1279">
        <v>96.4</v>
      </c>
      <c r="D167" s="1279">
        <v>244.2</v>
      </c>
      <c r="E167" s="1113" t="str">
        <f>IF($A167&lt;DATE(2018,7,1),"-",INDEX('I1 - Universal Data'!$E$16:$V$16, MATCH(YEAR(EOMONTH($A167,6)), 'I1 - Universal Data'!$E$14:$V$14, 0)))</f>
        <v>-</v>
      </c>
      <c r="F167" s="1113" t="str">
        <f>IF($A167&lt;DATE(2018,7,1),"-",INDEX('I1 - Universal Data'!$E$15:$V$15, MATCH(YEAR(EOMONTH($A167,6)), 'I1 - Universal Data'!$E$14:$V$14, 0)))</f>
        <v>-</v>
      </c>
      <c r="G167" s="1114">
        <f t="shared" si="16"/>
        <v>96.4</v>
      </c>
      <c r="H167" s="1114">
        <f t="shared" si="16"/>
        <v>244.2</v>
      </c>
      <c r="U167" s="1102"/>
    </row>
    <row r="168" spans="1:21">
      <c r="A168" s="1111">
        <f t="shared" si="14"/>
        <v>41213</v>
      </c>
      <c r="B168" s="1112">
        <f t="shared" si="12"/>
        <v>2013</v>
      </c>
      <c r="C168" s="1279">
        <v>96.8</v>
      </c>
      <c r="D168" s="1279">
        <v>245.6</v>
      </c>
      <c r="E168" s="1113" t="str">
        <f>IF($A168&lt;DATE(2018,7,1),"-",INDEX('I1 - Universal Data'!$E$16:$V$16, MATCH(YEAR(EOMONTH($A168,6)), 'I1 - Universal Data'!$E$14:$V$14, 0)))</f>
        <v>-</v>
      </c>
      <c r="F168" s="1113" t="str">
        <f>IF($A168&lt;DATE(2018,7,1),"-",INDEX('I1 - Universal Data'!$E$15:$V$15, MATCH(YEAR(EOMONTH($A168,6)), 'I1 - Universal Data'!$E$14:$V$14, 0)))</f>
        <v>-</v>
      </c>
      <c r="G168" s="1114">
        <f t="shared" si="16"/>
        <v>96.8</v>
      </c>
      <c r="H168" s="1114">
        <f t="shared" si="16"/>
        <v>245.6</v>
      </c>
      <c r="U168" s="1102"/>
    </row>
    <row r="169" spans="1:21">
      <c r="A169" s="1111">
        <f t="shared" si="14"/>
        <v>41243</v>
      </c>
      <c r="B169" s="1112">
        <f t="shared" si="12"/>
        <v>2013</v>
      </c>
      <c r="C169" s="1279">
        <v>97</v>
      </c>
      <c r="D169" s="1279">
        <v>245.6</v>
      </c>
      <c r="E169" s="1113" t="str">
        <f>IF($A169&lt;DATE(2018,7,1),"-",INDEX('I1 - Universal Data'!$E$16:$V$16, MATCH(YEAR(EOMONTH($A169,6)), 'I1 - Universal Data'!$E$14:$V$14, 0)))</f>
        <v>-</v>
      </c>
      <c r="F169" s="1113" t="str">
        <f>IF($A169&lt;DATE(2018,7,1),"-",INDEX('I1 - Universal Data'!$E$15:$V$15, MATCH(YEAR(EOMONTH($A169,6)), 'I1 - Universal Data'!$E$14:$V$14, 0)))</f>
        <v>-</v>
      </c>
      <c r="G169" s="1114">
        <f t="shared" si="16"/>
        <v>97</v>
      </c>
      <c r="H169" s="1114">
        <f t="shared" si="16"/>
        <v>245.6</v>
      </c>
      <c r="U169" s="1102"/>
    </row>
    <row r="170" spans="1:21">
      <c r="A170" s="1111">
        <f t="shared" si="14"/>
        <v>41274</v>
      </c>
      <c r="B170" s="1112">
        <f t="shared" si="12"/>
        <v>2013</v>
      </c>
      <c r="C170" s="1279">
        <v>97.3</v>
      </c>
      <c r="D170" s="1279">
        <v>246.8</v>
      </c>
      <c r="E170" s="1113" t="str">
        <f>IF($A170&lt;DATE(2018,7,1),"-",INDEX('I1 - Universal Data'!$E$16:$V$16, MATCH(YEAR(EOMONTH($A170,6)), 'I1 - Universal Data'!$E$14:$V$14, 0)))</f>
        <v>-</v>
      </c>
      <c r="F170" s="1113" t="str">
        <f>IF($A170&lt;DATE(2018,7,1),"-",INDEX('I1 - Universal Data'!$E$15:$V$15, MATCH(YEAR(EOMONTH($A170,6)), 'I1 - Universal Data'!$E$14:$V$14, 0)))</f>
        <v>-</v>
      </c>
      <c r="G170" s="1114">
        <f t="shared" si="16"/>
        <v>97.3</v>
      </c>
      <c r="H170" s="1114">
        <f t="shared" si="16"/>
        <v>246.8</v>
      </c>
      <c r="U170" s="1102"/>
    </row>
    <row r="171" spans="1:21">
      <c r="A171" s="1111">
        <f t="shared" si="14"/>
        <v>41305</v>
      </c>
      <c r="B171" s="1112">
        <f t="shared" si="12"/>
        <v>2013</v>
      </c>
      <c r="C171" s="1279">
        <v>97</v>
      </c>
      <c r="D171" s="1279">
        <v>245.8</v>
      </c>
      <c r="E171" s="1113" t="str">
        <f>IF($A171&lt;DATE(2018,7,1),"-",INDEX('I1 - Universal Data'!$E$16:$V$16, MATCH(YEAR(EOMONTH($A171,6)), 'I1 - Universal Data'!$E$14:$V$14, 0)))</f>
        <v>-</v>
      </c>
      <c r="F171" s="1113" t="str">
        <f>IF($A171&lt;DATE(2018,7,1),"-",INDEX('I1 - Universal Data'!$E$15:$V$15, MATCH(YEAR(EOMONTH($A171,6)), 'I1 - Universal Data'!$E$14:$V$14, 0)))</f>
        <v>-</v>
      </c>
      <c r="G171" s="1114">
        <f t="shared" si="16"/>
        <v>97</v>
      </c>
      <c r="H171" s="1114">
        <f t="shared" si="16"/>
        <v>245.8</v>
      </c>
      <c r="U171" s="1102"/>
    </row>
    <row r="172" spans="1:21">
      <c r="A172" s="1111">
        <f t="shared" si="14"/>
        <v>41333</v>
      </c>
      <c r="B172" s="1112">
        <f t="shared" si="12"/>
        <v>2013</v>
      </c>
      <c r="C172" s="1279">
        <v>97.5</v>
      </c>
      <c r="D172" s="1279">
        <v>247.6</v>
      </c>
      <c r="E172" s="1113" t="str">
        <f>IF($A172&lt;DATE(2018,7,1),"-",INDEX('I1 - Universal Data'!$E$16:$V$16, MATCH(YEAR(EOMONTH($A172,6)), 'I1 - Universal Data'!$E$14:$V$14, 0)))</f>
        <v>-</v>
      </c>
      <c r="F172" s="1113" t="str">
        <f>IF($A172&lt;DATE(2018,7,1),"-",INDEX('I1 - Universal Data'!$E$15:$V$15, MATCH(YEAR(EOMONTH($A172,6)), 'I1 - Universal Data'!$E$14:$V$14, 0)))</f>
        <v>-</v>
      </c>
      <c r="G172" s="1114">
        <f t="shared" si="16"/>
        <v>97.5</v>
      </c>
      <c r="H172" s="1114">
        <f t="shared" si="16"/>
        <v>247.6</v>
      </c>
      <c r="U172" s="1102"/>
    </row>
    <row r="173" spans="1:21">
      <c r="A173" s="1111">
        <f t="shared" si="14"/>
        <v>41364</v>
      </c>
      <c r="B173" s="1112">
        <f t="shared" si="12"/>
        <v>2013</v>
      </c>
      <c r="C173" s="1279">
        <v>97.8</v>
      </c>
      <c r="D173" s="1279">
        <v>248.7</v>
      </c>
      <c r="E173" s="1113" t="str">
        <f>IF($A173&lt;DATE(2018,7,1),"-",INDEX('I1 - Universal Data'!$E$16:$V$16, MATCH(YEAR(EOMONTH($A173,6)), 'I1 - Universal Data'!$E$14:$V$14, 0)))</f>
        <v>-</v>
      </c>
      <c r="F173" s="1113" t="str">
        <f>IF($A173&lt;DATE(2018,7,1),"-",INDEX('I1 - Universal Data'!$E$15:$V$15, MATCH(YEAR(EOMONTH($A173,6)), 'I1 - Universal Data'!$E$14:$V$14, 0)))</f>
        <v>-</v>
      </c>
      <c r="G173" s="1114">
        <f t="shared" si="16"/>
        <v>97.8</v>
      </c>
      <c r="H173" s="1114">
        <f t="shared" si="16"/>
        <v>248.7</v>
      </c>
      <c r="U173" s="1102"/>
    </row>
    <row r="174" spans="1:21">
      <c r="A174" s="1111">
        <f t="shared" si="14"/>
        <v>41394</v>
      </c>
      <c r="B174" s="1112">
        <f t="shared" si="12"/>
        <v>2014</v>
      </c>
      <c r="C174" s="1279">
        <v>98</v>
      </c>
      <c r="D174" s="1279">
        <v>249.5</v>
      </c>
      <c r="E174" s="1113" t="str">
        <f>IF($A174&lt;DATE(2018,7,1),"-",INDEX('I1 - Universal Data'!$E$16:$V$16, MATCH(YEAR(EOMONTH($A174,6)), 'I1 - Universal Data'!$E$14:$V$14, 0)))</f>
        <v>-</v>
      </c>
      <c r="F174" s="1113" t="str">
        <f>IF($A174&lt;DATE(2018,7,1),"-",INDEX('I1 - Universal Data'!$E$15:$V$15, MATCH(YEAR(EOMONTH($A174,6)), 'I1 - Universal Data'!$E$14:$V$14, 0)))</f>
        <v>-</v>
      </c>
      <c r="G174" s="1114">
        <f t="shared" si="16"/>
        <v>98</v>
      </c>
      <c r="H174" s="1114">
        <f t="shared" si="16"/>
        <v>249.5</v>
      </c>
      <c r="U174" s="1102"/>
    </row>
    <row r="175" spans="1:21">
      <c r="A175" s="1111">
        <f t="shared" si="14"/>
        <v>41425</v>
      </c>
      <c r="B175" s="1112">
        <f t="shared" si="12"/>
        <v>2014</v>
      </c>
      <c r="C175" s="1279">
        <v>98.2</v>
      </c>
      <c r="D175" s="1279">
        <v>250</v>
      </c>
      <c r="E175" s="1113" t="str">
        <f>IF($A175&lt;DATE(2018,7,1),"-",INDEX('I1 - Universal Data'!$E$16:$V$16, MATCH(YEAR(EOMONTH($A175,6)), 'I1 - Universal Data'!$E$14:$V$14, 0)))</f>
        <v>-</v>
      </c>
      <c r="F175" s="1113" t="str">
        <f>IF($A175&lt;DATE(2018,7,1),"-",INDEX('I1 - Universal Data'!$E$15:$V$15, MATCH(YEAR(EOMONTH($A175,6)), 'I1 - Universal Data'!$E$14:$V$14, 0)))</f>
        <v>-</v>
      </c>
      <c r="G175" s="1114">
        <f t="shared" si="16"/>
        <v>98.2</v>
      </c>
      <c r="H175" s="1114">
        <f t="shared" si="16"/>
        <v>250</v>
      </c>
      <c r="U175" s="1102"/>
    </row>
    <row r="176" spans="1:21">
      <c r="A176" s="1111">
        <f t="shared" si="14"/>
        <v>41455</v>
      </c>
      <c r="B176" s="1112">
        <f t="shared" si="12"/>
        <v>2014</v>
      </c>
      <c r="C176" s="1279">
        <v>98</v>
      </c>
      <c r="D176" s="1279">
        <v>249.7</v>
      </c>
      <c r="E176" s="1113" t="str">
        <f>IF($A176&lt;DATE(2018,7,1),"-",INDEX('I1 - Universal Data'!$E$16:$V$16, MATCH(YEAR(EOMONTH($A176,6)), 'I1 - Universal Data'!$E$14:$V$14, 0)))</f>
        <v>-</v>
      </c>
      <c r="F176" s="1113" t="str">
        <f>IF($A176&lt;DATE(2018,7,1),"-",INDEX('I1 - Universal Data'!$E$15:$V$15, MATCH(YEAR(EOMONTH($A176,6)), 'I1 - Universal Data'!$E$14:$V$14, 0)))</f>
        <v>-</v>
      </c>
      <c r="G176" s="1114">
        <f t="shared" si="16"/>
        <v>98</v>
      </c>
      <c r="H176" s="1114">
        <f t="shared" si="16"/>
        <v>249.7</v>
      </c>
      <c r="U176" s="1102"/>
    </row>
    <row r="177" spans="1:21">
      <c r="A177" s="1111">
        <f t="shared" si="14"/>
        <v>41486</v>
      </c>
      <c r="B177" s="1112">
        <f t="shared" si="12"/>
        <v>2014</v>
      </c>
      <c r="C177" s="1279">
        <v>98</v>
      </c>
      <c r="D177" s="1279">
        <v>249.7</v>
      </c>
      <c r="E177" s="1113" t="str">
        <f>IF($A177&lt;DATE(2018,7,1),"-",INDEX('I1 - Universal Data'!$E$16:$V$16, MATCH(YEAR(EOMONTH($A177,6)), 'I1 - Universal Data'!$E$14:$V$14, 0)))</f>
        <v>-</v>
      </c>
      <c r="F177" s="1113" t="str">
        <f>IF($A177&lt;DATE(2018,7,1),"-",INDEX('I1 - Universal Data'!$E$15:$V$15, MATCH(YEAR(EOMONTH($A177,6)), 'I1 - Universal Data'!$E$14:$V$14, 0)))</f>
        <v>-</v>
      </c>
      <c r="G177" s="1114">
        <f t="shared" si="16"/>
        <v>98</v>
      </c>
      <c r="H177" s="1114">
        <f t="shared" si="16"/>
        <v>249.7</v>
      </c>
      <c r="U177" s="1102"/>
    </row>
    <row r="178" spans="1:21">
      <c r="A178" s="1111">
        <f t="shared" si="14"/>
        <v>41517</v>
      </c>
      <c r="B178" s="1112">
        <f t="shared" si="12"/>
        <v>2014</v>
      </c>
      <c r="C178" s="1279">
        <v>98.4</v>
      </c>
      <c r="D178" s="1279">
        <v>251</v>
      </c>
      <c r="E178" s="1113" t="str">
        <f>IF($A178&lt;DATE(2018,7,1),"-",INDEX('I1 - Universal Data'!$E$16:$V$16, MATCH(YEAR(EOMONTH($A178,6)), 'I1 - Universal Data'!$E$14:$V$14, 0)))</f>
        <v>-</v>
      </c>
      <c r="F178" s="1113" t="str">
        <f>IF($A178&lt;DATE(2018,7,1),"-",INDEX('I1 - Universal Data'!$E$15:$V$15, MATCH(YEAR(EOMONTH($A178,6)), 'I1 - Universal Data'!$E$14:$V$14, 0)))</f>
        <v>-</v>
      </c>
      <c r="G178" s="1114">
        <f t="shared" si="16"/>
        <v>98.4</v>
      </c>
      <c r="H178" s="1114">
        <f t="shared" si="16"/>
        <v>251</v>
      </c>
      <c r="U178" s="1102"/>
    </row>
    <row r="179" spans="1:21">
      <c r="A179" s="1111">
        <f t="shared" si="14"/>
        <v>41547</v>
      </c>
      <c r="B179" s="1112">
        <f t="shared" si="12"/>
        <v>2014</v>
      </c>
      <c r="C179" s="1279">
        <v>98.7</v>
      </c>
      <c r="D179" s="1279">
        <v>251.9</v>
      </c>
      <c r="E179" s="1113" t="str">
        <f>IF($A179&lt;DATE(2018,7,1),"-",INDEX('I1 - Universal Data'!$E$16:$V$16, MATCH(YEAR(EOMONTH($A179,6)), 'I1 - Universal Data'!$E$14:$V$14, 0)))</f>
        <v>-</v>
      </c>
      <c r="F179" s="1113" t="str">
        <f>IF($A179&lt;DATE(2018,7,1),"-",INDEX('I1 - Universal Data'!$E$15:$V$15, MATCH(YEAR(EOMONTH($A179,6)), 'I1 - Universal Data'!$E$14:$V$14, 0)))</f>
        <v>-</v>
      </c>
      <c r="G179" s="1114">
        <f t="shared" si="16"/>
        <v>98.7</v>
      </c>
      <c r="H179" s="1114">
        <f t="shared" si="16"/>
        <v>251.9</v>
      </c>
      <c r="U179" s="1102"/>
    </row>
    <row r="180" spans="1:21">
      <c r="A180" s="1111">
        <f t="shared" si="14"/>
        <v>41578</v>
      </c>
      <c r="B180" s="1112">
        <f t="shared" si="12"/>
        <v>2014</v>
      </c>
      <c r="C180" s="1279">
        <v>98.8</v>
      </c>
      <c r="D180" s="1279">
        <v>251.9</v>
      </c>
      <c r="E180" s="1113" t="str">
        <f>IF($A180&lt;DATE(2018,7,1),"-",INDEX('I1 - Universal Data'!$E$16:$V$16, MATCH(YEAR(EOMONTH($A180,6)), 'I1 - Universal Data'!$E$14:$V$14, 0)))</f>
        <v>-</v>
      </c>
      <c r="F180" s="1113" t="str">
        <f>IF($A180&lt;DATE(2018,7,1),"-",INDEX('I1 - Universal Data'!$E$15:$V$15, MATCH(YEAR(EOMONTH($A180,6)), 'I1 - Universal Data'!$E$14:$V$14, 0)))</f>
        <v>-</v>
      </c>
      <c r="G180" s="1114">
        <f t="shared" si="16"/>
        <v>98.8</v>
      </c>
      <c r="H180" s="1114">
        <f t="shared" si="16"/>
        <v>251.9</v>
      </c>
      <c r="U180" s="1102"/>
    </row>
    <row r="181" spans="1:21">
      <c r="A181" s="1111">
        <f t="shared" si="14"/>
        <v>41608</v>
      </c>
      <c r="B181" s="1112">
        <f t="shared" si="12"/>
        <v>2014</v>
      </c>
      <c r="C181" s="1279">
        <v>98.8</v>
      </c>
      <c r="D181" s="1279">
        <v>252.1</v>
      </c>
      <c r="E181" s="1113" t="str">
        <f>IF($A181&lt;DATE(2018,7,1),"-",INDEX('I1 - Universal Data'!$E$16:$V$16, MATCH(YEAR(EOMONTH($A181,6)), 'I1 - Universal Data'!$E$14:$V$14, 0)))</f>
        <v>-</v>
      </c>
      <c r="F181" s="1113" t="str">
        <f>IF($A181&lt;DATE(2018,7,1),"-",INDEX('I1 - Universal Data'!$E$15:$V$15, MATCH(YEAR(EOMONTH($A181,6)), 'I1 - Universal Data'!$E$14:$V$14, 0)))</f>
        <v>-</v>
      </c>
      <c r="G181" s="1114">
        <f t="shared" si="16"/>
        <v>98.8</v>
      </c>
      <c r="H181" s="1114">
        <f t="shared" si="16"/>
        <v>252.1</v>
      </c>
      <c r="U181" s="1102"/>
    </row>
    <row r="182" spans="1:21">
      <c r="A182" s="1111">
        <f t="shared" si="14"/>
        <v>41639</v>
      </c>
      <c r="B182" s="1112">
        <f t="shared" si="12"/>
        <v>2014</v>
      </c>
      <c r="C182" s="1279">
        <v>99.2</v>
      </c>
      <c r="D182" s="1279">
        <v>253.4</v>
      </c>
      <c r="E182" s="1113" t="str">
        <f>IF($A182&lt;DATE(2018,7,1),"-",INDEX('I1 - Universal Data'!$E$16:$V$16, MATCH(YEAR(EOMONTH($A182,6)), 'I1 - Universal Data'!$E$14:$V$14, 0)))</f>
        <v>-</v>
      </c>
      <c r="F182" s="1113" t="str">
        <f>IF($A182&lt;DATE(2018,7,1),"-",INDEX('I1 - Universal Data'!$E$15:$V$15, MATCH(YEAR(EOMONTH($A182,6)), 'I1 - Universal Data'!$E$14:$V$14, 0)))</f>
        <v>-</v>
      </c>
      <c r="G182" s="1114">
        <f t="shared" ref="G182:H197" si="17">IF(ISBLANK(C182),G181*((1+E182)^(1/12)),C182)</f>
        <v>99.2</v>
      </c>
      <c r="H182" s="1114">
        <f t="shared" si="17"/>
        <v>253.4</v>
      </c>
      <c r="U182" s="1102"/>
    </row>
    <row r="183" spans="1:21">
      <c r="A183" s="1111">
        <f t="shared" si="14"/>
        <v>41670</v>
      </c>
      <c r="B183" s="1112">
        <f t="shared" si="12"/>
        <v>2014</v>
      </c>
      <c r="C183" s="1279">
        <v>98.7</v>
      </c>
      <c r="D183" s="1279">
        <v>252.6</v>
      </c>
      <c r="E183" s="1113" t="str">
        <f>IF($A183&lt;DATE(2018,7,1),"-",INDEX('I1 - Universal Data'!$E$16:$V$16, MATCH(YEAR(EOMONTH($A183,6)), 'I1 - Universal Data'!$E$14:$V$14, 0)))</f>
        <v>-</v>
      </c>
      <c r="F183" s="1113" t="str">
        <f>IF($A183&lt;DATE(2018,7,1),"-",INDEX('I1 - Universal Data'!$E$15:$V$15, MATCH(YEAR(EOMONTH($A183,6)), 'I1 - Universal Data'!$E$14:$V$14, 0)))</f>
        <v>-</v>
      </c>
      <c r="G183" s="1114">
        <f t="shared" si="17"/>
        <v>98.7</v>
      </c>
      <c r="H183" s="1114">
        <f t="shared" si="17"/>
        <v>252.6</v>
      </c>
      <c r="U183" s="1102"/>
    </row>
    <row r="184" spans="1:21">
      <c r="A184" s="1111">
        <f t="shared" si="14"/>
        <v>41698</v>
      </c>
      <c r="B184" s="1112">
        <f t="shared" si="12"/>
        <v>2014</v>
      </c>
      <c r="C184" s="1279">
        <v>99.1</v>
      </c>
      <c r="D184" s="1279">
        <v>254.2</v>
      </c>
      <c r="E184" s="1113" t="str">
        <f>IF($A184&lt;DATE(2018,7,1),"-",INDEX('I1 - Universal Data'!$E$16:$V$16, MATCH(YEAR(EOMONTH($A184,6)), 'I1 - Universal Data'!$E$14:$V$14, 0)))</f>
        <v>-</v>
      </c>
      <c r="F184" s="1113" t="str">
        <f>IF($A184&lt;DATE(2018,7,1),"-",INDEX('I1 - Universal Data'!$E$15:$V$15, MATCH(YEAR(EOMONTH($A184,6)), 'I1 - Universal Data'!$E$14:$V$14, 0)))</f>
        <v>-</v>
      </c>
      <c r="G184" s="1114">
        <f t="shared" si="17"/>
        <v>99.1</v>
      </c>
      <c r="H184" s="1114">
        <f t="shared" si="17"/>
        <v>254.2</v>
      </c>
      <c r="U184" s="1102"/>
    </row>
    <row r="185" spans="1:21">
      <c r="A185" s="1111">
        <f t="shared" si="14"/>
        <v>41729</v>
      </c>
      <c r="B185" s="1112">
        <f t="shared" si="12"/>
        <v>2014</v>
      </c>
      <c r="C185" s="1279">
        <v>99.3</v>
      </c>
      <c r="D185" s="1279">
        <v>254.8</v>
      </c>
      <c r="E185" s="1113" t="str">
        <f>IF($A185&lt;DATE(2018,7,1),"-",INDEX('I1 - Universal Data'!$E$16:$V$16, MATCH(YEAR(EOMONTH($A185,6)), 'I1 - Universal Data'!$E$14:$V$14, 0)))</f>
        <v>-</v>
      </c>
      <c r="F185" s="1113" t="str">
        <f>IF($A185&lt;DATE(2018,7,1),"-",INDEX('I1 - Universal Data'!$E$15:$V$15, MATCH(YEAR(EOMONTH($A185,6)), 'I1 - Universal Data'!$E$14:$V$14, 0)))</f>
        <v>-</v>
      </c>
      <c r="G185" s="1114">
        <f t="shared" si="17"/>
        <v>99.3</v>
      </c>
      <c r="H185" s="1114">
        <f t="shared" si="17"/>
        <v>254.8</v>
      </c>
      <c r="U185" s="1102"/>
    </row>
    <row r="186" spans="1:21">
      <c r="A186" s="1111">
        <f t="shared" si="14"/>
        <v>41759</v>
      </c>
      <c r="B186" s="1112">
        <f t="shared" si="12"/>
        <v>2015</v>
      </c>
      <c r="C186" s="1279">
        <v>99.6</v>
      </c>
      <c r="D186" s="1279">
        <v>255.7</v>
      </c>
      <c r="E186" s="1113" t="str">
        <f>IF($A186&lt;DATE(2018,7,1),"-",INDEX('I1 - Universal Data'!$E$16:$V$16, MATCH(YEAR(EOMONTH($A186,6)), 'I1 - Universal Data'!$E$14:$V$14, 0)))</f>
        <v>-</v>
      </c>
      <c r="F186" s="1113" t="str">
        <f>IF($A186&lt;DATE(2018,7,1),"-",INDEX('I1 - Universal Data'!$E$15:$V$15, MATCH(YEAR(EOMONTH($A186,6)), 'I1 - Universal Data'!$E$14:$V$14, 0)))</f>
        <v>-</v>
      </c>
      <c r="G186" s="1114">
        <f t="shared" si="17"/>
        <v>99.6</v>
      </c>
      <c r="H186" s="1114">
        <f t="shared" si="17"/>
        <v>255.7</v>
      </c>
      <c r="U186" s="1102"/>
    </row>
    <row r="187" spans="1:21">
      <c r="A187" s="1111">
        <f t="shared" si="14"/>
        <v>41790</v>
      </c>
      <c r="B187" s="1112">
        <f t="shared" si="12"/>
        <v>2015</v>
      </c>
      <c r="C187" s="1279">
        <v>99.6</v>
      </c>
      <c r="D187" s="1279">
        <v>255.9</v>
      </c>
      <c r="E187" s="1113" t="str">
        <f>IF($A187&lt;DATE(2018,7,1),"-",INDEX('I1 - Universal Data'!$E$16:$V$16, MATCH(YEAR(EOMONTH($A187,6)), 'I1 - Universal Data'!$E$14:$V$14, 0)))</f>
        <v>-</v>
      </c>
      <c r="F187" s="1113" t="str">
        <f>IF($A187&lt;DATE(2018,7,1),"-",INDEX('I1 - Universal Data'!$E$15:$V$15, MATCH(YEAR(EOMONTH($A187,6)), 'I1 - Universal Data'!$E$14:$V$14, 0)))</f>
        <v>-</v>
      </c>
      <c r="G187" s="1114">
        <f t="shared" si="17"/>
        <v>99.6</v>
      </c>
      <c r="H187" s="1114">
        <f t="shared" si="17"/>
        <v>255.9</v>
      </c>
      <c r="U187" s="1102"/>
    </row>
    <row r="188" spans="1:21">
      <c r="A188" s="1111">
        <f t="shared" si="14"/>
        <v>41820</v>
      </c>
      <c r="B188" s="1112">
        <f t="shared" si="12"/>
        <v>2015</v>
      </c>
      <c r="C188" s="1279">
        <v>99.8</v>
      </c>
      <c r="D188" s="1279">
        <v>256.3</v>
      </c>
      <c r="E188" s="1113" t="str">
        <f>IF($A188&lt;DATE(2018,7,1),"-",INDEX('I1 - Universal Data'!$E$16:$V$16, MATCH(YEAR(EOMONTH($A188,6)), 'I1 - Universal Data'!$E$14:$V$14, 0)))</f>
        <v>-</v>
      </c>
      <c r="F188" s="1113" t="str">
        <f>IF($A188&lt;DATE(2018,7,1),"-",INDEX('I1 - Universal Data'!$E$15:$V$15, MATCH(YEAR(EOMONTH($A188,6)), 'I1 - Universal Data'!$E$14:$V$14, 0)))</f>
        <v>-</v>
      </c>
      <c r="G188" s="1114">
        <f t="shared" si="17"/>
        <v>99.8</v>
      </c>
      <c r="H188" s="1114">
        <f t="shared" si="17"/>
        <v>256.3</v>
      </c>
      <c r="U188" s="1102"/>
    </row>
    <row r="189" spans="1:21">
      <c r="A189" s="1111">
        <f t="shared" si="14"/>
        <v>41851</v>
      </c>
      <c r="B189" s="1112">
        <f t="shared" si="12"/>
        <v>2015</v>
      </c>
      <c r="C189" s="1279">
        <v>99.6</v>
      </c>
      <c r="D189" s="1279">
        <v>256</v>
      </c>
      <c r="E189" s="1113" t="str">
        <f>IF($A189&lt;DATE(2018,7,1),"-",INDEX('I1 - Universal Data'!$E$16:$V$16, MATCH(YEAR(EOMONTH($A189,6)), 'I1 - Universal Data'!$E$14:$V$14, 0)))</f>
        <v>-</v>
      </c>
      <c r="F189" s="1113" t="str">
        <f>IF($A189&lt;DATE(2018,7,1),"-",INDEX('I1 - Universal Data'!$E$15:$V$15, MATCH(YEAR(EOMONTH($A189,6)), 'I1 - Universal Data'!$E$14:$V$14, 0)))</f>
        <v>-</v>
      </c>
      <c r="G189" s="1114">
        <f t="shared" si="17"/>
        <v>99.6</v>
      </c>
      <c r="H189" s="1114">
        <f t="shared" si="17"/>
        <v>256</v>
      </c>
      <c r="U189" s="1102"/>
    </row>
    <row r="190" spans="1:21">
      <c r="A190" s="1111">
        <f t="shared" si="14"/>
        <v>41882</v>
      </c>
      <c r="B190" s="1112">
        <f t="shared" si="12"/>
        <v>2015</v>
      </c>
      <c r="C190" s="1279">
        <v>99.9</v>
      </c>
      <c r="D190" s="1279">
        <v>257</v>
      </c>
      <c r="E190" s="1113" t="str">
        <f>IF($A190&lt;DATE(2018,7,1),"-",INDEX('I1 - Universal Data'!$E$16:$V$16, MATCH(YEAR(EOMONTH($A190,6)), 'I1 - Universal Data'!$E$14:$V$14, 0)))</f>
        <v>-</v>
      </c>
      <c r="F190" s="1113" t="str">
        <f>IF($A190&lt;DATE(2018,7,1),"-",INDEX('I1 - Universal Data'!$E$15:$V$15, MATCH(YEAR(EOMONTH($A190,6)), 'I1 - Universal Data'!$E$14:$V$14, 0)))</f>
        <v>-</v>
      </c>
      <c r="G190" s="1114">
        <f t="shared" si="17"/>
        <v>99.9</v>
      </c>
      <c r="H190" s="1114">
        <f t="shared" si="17"/>
        <v>257</v>
      </c>
      <c r="U190" s="1102"/>
    </row>
    <row r="191" spans="1:21">
      <c r="A191" s="1111">
        <f t="shared" si="14"/>
        <v>41912</v>
      </c>
      <c r="B191" s="1112">
        <f t="shared" si="12"/>
        <v>2015</v>
      </c>
      <c r="C191" s="1279">
        <v>100</v>
      </c>
      <c r="D191" s="1279">
        <v>257.60000000000002</v>
      </c>
      <c r="E191" s="1113" t="str">
        <f>IF($A191&lt;DATE(2018,7,1),"-",INDEX('I1 - Universal Data'!$E$16:$V$16, MATCH(YEAR(EOMONTH($A191,6)), 'I1 - Universal Data'!$E$14:$V$14, 0)))</f>
        <v>-</v>
      </c>
      <c r="F191" s="1113" t="str">
        <f>IF($A191&lt;DATE(2018,7,1),"-",INDEX('I1 - Universal Data'!$E$15:$V$15, MATCH(YEAR(EOMONTH($A191,6)), 'I1 - Universal Data'!$E$14:$V$14, 0)))</f>
        <v>-</v>
      </c>
      <c r="G191" s="1114">
        <f t="shared" si="17"/>
        <v>100</v>
      </c>
      <c r="H191" s="1114">
        <f t="shared" si="17"/>
        <v>257.60000000000002</v>
      </c>
      <c r="U191" s="1102"/>
    </row>
    <row r="192" spans="1:21">
      <c r="A192" s="1111">
        <f t="shared" si="14"/>
        <v>41943</v>
      </c>
      <c r="B192" s="1112">
        <f t="shared" si="12"/>
        <v>2015</v>
      </c>
      <c r="C192" s="1279">
        <v>100.1</v>
      </c>
      <c r="D192" s="1279">
        <v>257.7</v>
      </c>
      <c r="E192" s="1113" t="str">
        <f>IF($A192&lt;DATE(2018,7,1),"-",INDEX('I1 - Universal Data'!$E$16:$V$16, MATCH(YEAR(EOMONTH($A192,6)), 'I1 - Universal Data'!$E$14:$V$14, 0)))</f>
        <v>-</v>
      </c>
      <c r="F192" s="1113" t="str">
        <f>IF($A192&lt;DATE(2018,7,1),"-",INDEX('I1 - Universal Data'!$E$15:$V$15, MATCH(YEAR(EOMONTH($A192,6)), 'I1 - Universal Data'!$E$14:$V$14, 0)))</f>
        <v>-</v>
      </c>
      <c r="G192" s="1114">
        <f t="shared" si="17"/>
        <v>100.1</v>
      </c>
      <c r="H192" s="1114">
        <f t="shared" si="17"/>
        <v>257.7</v>
      </c>
      <c r="U192" s="1102"/>
    </row>
    <row r="193" spans="1:21">
      <c r="A193" s="1111">
        <f t="shared" si="14"/>
        <v>41973</v>
      </c>
      <c r="B193" s="1112">
        <f t="shared" si="12"/>
        <v>2015</v>
      </c>
      <c r="C193" s="1279">
        <v>99.9</v>
      </c>
      <c r="D193" s="1279">
        <v>257.10000000000002</v>
      </c>
      <c r="E193" s="1113" t="str">
        <f>IF($A193&lt;DATE(2018,7,1),"-",INDEX('I1 - Universal Data'!$E$16:$V$16, MATCH(YEAR(EOMONTH($A193,6)), 'I1 - Universal Data'!$E$14:$V$14, 0)))</f>
        <v>-</v>
      </c>
      <c r="F193" s="1113" t="str">
        <f>IF($A193&lt;DATE(2018,7,1),"-",INDEX('I1 - Universal Data'!$E$15:$V$15, MATCH(YEAR(EOMONTH($A193,6)), 'I1 - Universal Data'!$E$14:$V$14, 0)))</f>
        <v>-</v>
      </c>
      <c r="G193" s="1114">
        <f t="shared" si="17"/>
        <v>99.9</v>
      </c>
      <c r="H193" s="1114">
        <f t="shared" si="17"/>
        <v>257.10000000000002</v>
      </c>
      <c r="U193" s="1102"/>
    </row>
    <row r="194" spans="1:21">
      <c r="A194" s="1111">
        <f t="shared" si="14"/>
        <v>42004</v>
      </c>
      <c r="B194" s="1112">
        <f t="shared" si="12"/>
        <v>2015</v>
      </c>
      <c r="C194" s="1279">
        <v>99.9</v>
      </c>
      <c r="D194" s="1279">
        <v>257.5</v>
      </c>
      <c r="E194" s="1113" t="str">
        <f>IF($A194&lt;DATE(2018,7,1),"-",INDEX('I1 - Universal Data'!$E$16:$V$16, MATCH(YEAR(EOMONTH($A194,6)), 'I1 - Universal Data'!$E$14:$V$14, 0)))</f>
        <v>-</v>
      </c>
      <c r="F194" s="1113" t="str">
        <f>IF($A194&lt;DATE(2018,7,1),"-",INDEX('I1 - Universal Data'!$E$15:$V$15, MATCH(YEAR(EOMONTH($A194,6)), 'I1 - Universal Data'!$E$14:$V$14, 0)))</f>
        <v>-</v>
      </c>
      <c r="G194" s="1114">
        <f t="shared" si="17"/>
        <v>99.9</v>
      </c>
      <c r="H194" s="1114">
        <f t="shared" si="17"/>
        <v>257.5</v>
      </c>
      <c r="U194" s="1102"/>
    </row>
    <row r="195" spans="1:21">
      <c r="A195" s="1111">
        <f t="shared" si="14"/>
        <v>42035</v>
      </c>
      <c r="B195" s="1112">
        <f t="shared" si="12"/>
        <v>2015</v>
      </c>
      <c r="C195" s="1279">
        <v>99.2</v>
      </c>
      <c r="D195" s="1279">
        <v>255.4</v>
      </c>
      <c r="E195" s="1113" t="str">
        <f>IF($A195&lt;DATE(2018,7,1),"-",INDEX('I1 - Universal Data'!$E$16:$V$16, MATCH(YEAR(EOMONTH($A195,6)), 'I1 - Universal Data'!$E$14:$V$14, 0)))</f>
        <v>-</v>
      </c>
      <c r="F195" s="1113" t="str">
        <f>IF($A195&lt;DATE(2018,7,1),"-",INDEX('I1 - Universal Data'!$E$15:$V$15, MATCH(YEAR(EOMONTH($A195,6)), 'I1 - Universal Data'!$E$14:$V$14, 0)))</f>
        <v>-</v>
      </c>
      <c r="G195" s="1114">
        <f t="shared" si="17"/>
        <v>99.2</v>
      </c>
      <c r="H195" s="1114">
        <f t="shared" si="17"/>
        <v>255.4</v>
      </c>
      <c r="U195" s="1102"/>
    </row>
    <row r="196" spans="1:21">
      <c r="A196" s="1111">
        <f t="shared" si="14"/>
        <v>42063</v>
      </c>
      <c r="B196" s="1112">
        <f t="shared" si="12"/>
        <v>2015</v>
      </c>
      <c r="C196" s="1279">
        <v>99.5</v>
      </c>
      <c r="D196" s="1279">
        <v>256.7</v>
      </c>
      <c r="E196" s="1113" t="str">
        <f>IF($A196&lt;DATE(2018,7,1),"-",INDEX('I1 - Universal Data'!$E$16:$V$16, MATCH(YEAR(EOMONTH($A196,6)), 'I1 - Universal Data'!$E$14:$V$14, 0)))</f>
        <v>-</v>
      </c>
      <c r="F196" s="1113" t="str">
        <f>IF($A196&lt;DATE(2018,7,1),"-",INDEX('I1 - Universal Data'!$E$15:$V$15, MATCH(YEAR(EOMONTH($A196,6)), 'I1 - Universal Data'!$E$14:$V$14, 0)))</f>
        <v>-</v>
      </c>
      <c r="G196" s="1114">
        <f t="shared" si="17"/>
        <v>99.5</v>
      </c>
      <c r="H196" s="1114">
        <f t="shared" si="17"/>
        <v>256.7</v>
      </c>
      <c r="U196" s="1102"/>
    </row>
    <row r="197" spans="1:21">
      <c r="A197" s="1111">
        <f t="shared" si="14"/>
        <v>42094</v>
      </c>
      <c r="B197" s="1112">
        <f t="shared" si="12"/>
        <v>2015</v>
      </c>
      <c r="C197" s="1279">
        <v>99.6</v>
      </c>
      <c r="D197" s="1279">
        <v>257.10000000000002</v>
      </c>
      <c r="E197" s="1113" t="str">
        <f>IF($A197&lt;DATE(2018,7,1),"-",INDEX('I1 - Universal Data'!$E$16:$V$16, MATCH(YEAR(EOMONTH($A197,6)), 'I1 - Universal Data'!$E$14:$V$14, 0)))</f>
        <v>-</v>
      </c>
      <c r="F197" s="1113" t="str">
        <f>IF($A197&lt;DATE(2018,7,1),"-",INDEX('I1 - Universal Data'!$E$15:$V$15, MATCH(YEAR(EOMONTH($A197,6)), 'I1 - Universal Data'!$E$14:$V$14, 0)))</f>
        <v>-</v>
      </c>
      <c r="G197" s="1114">
        <f t="shared" si="17"/>
        <v>99.6</v>
      </c>
      <c r="H197" s="1114">
        <f t="shared" si="17"/>
        <v>257.10000000000002</v>
      </c>
      <c r="U197" s="1102"/>
    </row>
    <row r="198" spans="1:21">
      <c r="A198" s="1111">
        <f t="shared" si="14"/>
        <v>42124</v>
      </c>
      <c r="B198" s="1112">
        <f t="shared" ref="B198:B261" si="18">IF(MONTH(A198)&gt;=4,YEAR(A198)+1,YEAR(A198))</f>
        <v>2016</v>
      </c>
      <c r="C198" s="1279">
        <v>99.9</v>
      </c>
      <c r="D198" s="1279">
        <v>258</v>
      </c>
      <c r="E198" s="1113" t="str">
        <f>IF($A198&lt;DATE(2018,7,1),"-",INDEX('I1 - Universal Data'!$E$16:$V$16, MATCH(YEAR(EOMONTH($A198,6)), 'I1 - Universal Data'!$E$14:$V$14, 0)))</f>
        <v>-</v>
      </c>
      <c r="F198" s="1113" t="str">
        <f>IF($A198&lt;DATE(2018,7,1),"-",INDEX('I1 - Universal Data'!$E$15:$V$15, MATCH(YEAR(EOMONTH($A198,6)), 'I1 - Universal Data'!$E$14:$V$14, 0)))</f>
        <v>-</v>
      </c>
      <c r="G198" s="1114">
        <f t="shared" ref="G198:H213" si="19">IF(ISBLANK(C198),G197*((1+E198)^(1/12)),C198)</f>
        <v>99.9</v>
      </c>
      <c r="H198" s="1114">
        <f t="shared" si="19"/>
        <v>258</v>
      </c>
      <c r="U198" s="1102"/>
    </row>
    <row r="199" spans="1:21">
      <c r="A199" s="1111">
        <f t="shared" ref="A199:A262" si="20">IF(MONTH(A198) = 12, EOMONTH(DATE(YEAR(A198) + 1, 1, 1), 0), EOMONTH(DATE(YEAR(A198), MONTH(A198) + 1, 1), 0))</f>
        <v>42155</v>
      </c>
      <c r="B199" s="1112">
        <f t="shared" si="18"/>
        <v>2016</v>
      </c>
      <c r="C199" s="1279">
        <v>100.1</v>
      </c>
      <c r="D199" s="1279">
        <v>258.5</v>
      </c>
      <c r="E199" s="1113" t="str">
        <f>IF($A199&lt;DATE(2018,7,1),"-",INDEX('I1 - Universal Data'!$E$16:$V$16, MATCH(YEAR(EOMONTH($A199,6)), 'I1 - Universal Data'!$E$14:$V$14, 0)))</f>
        <v>-</v>
      </c>
      <c r="F199" s="1113" t="str">
        <f>IF($A199&lt;DATE(2018,7,1),"-",INDEX('I1 - Universal Data'!$E$15:$V$15, MATCH(YEAR(EOMONTH($A199,6)), 'I1 - Universal Data'!$E$14:$V$14, 0)))</f>
        <v>-</v>
      </c>
      <c r="G199" s="1114">
        <f t="shared" si="19"/>
        <v>100.1</v>
      </c>
      <c r="H199" s="1114">
        <f t="shared" si="19"/>
        <v>258.5</v>
      </c>
      <c r="U199" s="1102"/>
    </row>
    <row r="200" spans="1:21">
      <c r="A200" s="1111">
        <f t="shared" si="20"/>
        <v>42185</v>
      </c>
      <c r="B200" s="1112">
        <f t="shared" si="18"/>
        <v>2016</v>
      </c>
      <c r="C200" s="1279">
        <v>100.1</v>
      </c>
      <c r="D200" s="1279">
        <v>258.89999999999998</v>
      </c>
      <c r="E200" s="1113" t="str">
        <f>IF($A200&lt;DATE(2018,7,1),"-",INDEX('I1 - Universal Data'!$E$16:$V$16, MATCH(YEAR(EOMONTH($A200,6)), 'I1 - Universal Data'!$E$14:$V$14, 0)))</f>
        <v>-</v>
      </c>
      <c r="F200" s="1113" t="str">
        <f>IF($A200&lt;DATE(2018,7,1),"-",INDEX('I1 - Universal Data'!$E$15:$V$15, MATCH(YEAR(EOMONTH($A200,6)), 'I1 - Universal Data'!$E$14:$V$14, 0)))</f>
        <v>-</v>
      </c>
      <c r="G200" s="1114">
        <f t="shared" si="19"/>
        <v>100.1</v>
      </c>
      <c r="H200" s="1114">
        <f t="shared" si="19"/>
        <v>258.89999999999998</v>
      </c>
      <c r="U200" s="1102"/>
    </row>
    <row r="201" spans="1:21">
      <c r="A201" s="1111">
        <f t="shared" si="20"/>
        <v>42216</v>
      </c>
      <c r="B201" s="1112">
        <f t="shared" si="18"/>
        <v>2016</v>
      </c>
      <c r="C201" s="1279">
        <v>100</v>
      </c>
      <c r="D201" s="1279">
        <v>258.60000000000002</v>
      </c>
      <c r="E201" s="1113" t="str">
        <f>IF($A201&lt;DATE(2018,7,1),"-",INDEX('I1 - Universal Data'!$E$16:$V$16, MATCH(YEAR(EOMONTH($A201,6)), 'I1 - Universal Data'!$E$14:$V$14, 0)))</f>
        <v>-</v>
      </c>
      <c r="F201" s="1113" t="str">
        <f>IF($A201&lt;DATE(2018,7,1),"-",INDEX('I1 - Universal Data'!$E$15:$V$15, MATCH(YEAR(EOMONTH($A201,6)), 'I1 - Universal Data'!$E$14:$V$14, 0)))</f>
        <v>-</v>
      </c>
      <c r="G201" s="1114">
        <f t="shared" si="19"/>
        <v>100</v>
      </c>
      <c r="H201" s="1114">
        <f t="shared" si="19"/>
        <v>258.60000000000002</v>
      </c>
      <c r="U201" s="1102"/>
    </row>
    <row r="202" spans="1:21">
      <c r="A202" s="1111">
        <f t="shared" si="20"/>
        <v>42247</v>
      </c>
      <c r="B202" s="1112">
        <f t="shared" si="18"/>
        <v>2016</v>
      </c>
      <c r="C202" s="1279">
        <v>100.3</v>
      </c>
      <c r="D202" s="1279">
        <v>259.8</v>
      </c>
      <c r="E202" s="1113" t="str">
        <f>IF($A202&lt;DATE(2018,7,1),"-",INDEX('I1 - Universal Data'!$E$16:$V$16, MATCH(YEAR(EOMONTH($A202,6)), 'I1 - Universal Data'!$E$14:$V$14, 0)))</f>
        <v>-</v>
      </c>
      <c r="F202" s="1113" t="str">
        <f>IF($A202&lt;DATE(2018,7,1),"-",INDEX('I1 - Universal Data'!$E$15:$V$15, MATCH(YEAR(EOMONTH($A202,6)), 'I1 - Universal Data'!$E$14:$V$14, 0)))</f>
        <v>-</v>
      </c>
      <c r="G202" s="1114">
        <f t="shared" si="19"/>
        <v>100.3</v>
      </c>
      <c r="H202" s="1114">
        <f t="shared" si="19"/>
        <v>259.8</v>
      </c>
      <c r="U202" s="1102"/>
    </row>
    <row r="203" spans="1:21">
      <c r="A203" s="1111">
        <f t="shared" si="20"/>
        <v>42277</v>
      </c>
      <c r="B203" s="1112">
        <f t="shared" si="18"/>
        <v>2016</v>
      </c>
      <c r="C203" s="1279">
        <v>100.2</v>
      </c>
      <c r="D203" s="1279">
        <v>259.60000000000002</v>
      </c>
      <c r="E203" s="1113" t="str">
        <f>IF($A203&lt;DATE(2018,7,1),"-",INDEX('I1 - Universal Data'!$E$16:$V$16, MATCH(YEAR(EOMONTH($A203,6)), 'I1 - Universal Data'!$E$14:$V$14, 0)))</f>
        <v>-</v>
      </c>
      <c r="F203" s="1113" t="str">
        <f>IF($A203&lt;DATE(2018,7,1),"-",INDEX('I1 - Universal Data'!$E$15:$V$15, MATCH(YEAR(EOMONTH($A203,6)), 'I1 - Universal Data'!$E$14:$V$14, 0)))</f>
        <v>-</v>
      </c>
      <c r="G203" s="1114">
        <f t="shared" si="19"/>
        <v>100.2</v>
      </c>
      <c r="H203" s="1114">
        <f t="shared" si="19"/>
        <v>259.60000000000002</v>
      </c>
      <c r="U203" s="1102"/>
    </row>
    <row r="204" spans="1:21">
      <c r="A204" s="1111">
        <f t="shared" si="20"/>
        <v>42308</v>
      </c>
      <c r="B204" s="1112">
        <f t="shared" si="18"/>
        <v>2016</v>
      </c>
      <c r="C204" s="1279">
        <v>100.3</v>
      </c>
      <c r="D204" s="1279">
        <v>259.5</v>
      </c>
      <c r="E204" s="1113" t="str">
        <f>IF($A204&lt;DATE(2018,7,1),"-",INDEX('I1 - Universal Data'!$E$16:$V$16, MATCH(YEAR(EOMONTH($A204,6)), 'I1 - Universal Data'!$E$14:$V$14, 0)))</f>
        <v>-</v>
      </c>
      <c r="F204" s="1113" t="str">
        <f>IF($A204&lt;DATE(2018,7,1),"-",INDEX('I1 - Universal Data'!$E$15:$V$15, MATCH(YEAR(EOMONTH($A204,6)), 'I1 - Universal Data'!$E$14:$V$14, 0)))</f>
        <v>-</v>
      </c>
      <c r="G204" s="1114">
        <f t="shared" si="19"/>
        <v>100.3</v>
      </c>
      <c r="H204" s="1114">
        <f t="shared" si="19"/>
        <v>259.5</v>
      </c>
      <c r="U204" s="1102"/>
    </row>
    <row r="205" spans="1:21">
      <c r="A205" s="1111">
        <f t="shared" si="20"/>
        <v>42338</v>
      </c>
      <c r="B205" s="1112">
        <f t="shared" si="18"/>
        <v>2016</v>
      </c>
      <c r="C205" s="1279">
        <v>100.3</v>
      </c>
      <c r="D205" s="1279">
        <v>259.8</v>
      </c>
      <c r="E205" s="1113" t="str">
        <f>IF($A205&lt;DATE(2018,7,1),"-",INDEX('I1 - Universal Data'!$E$16:$V$16, MATCH(YEAR(EOMONTH($A205,6)), 'I1 - Universal Data'!$E$14:$V$14, 0)))</f>
        <v>-</v>
      </c>
      <c r="F205" s="1113" t="str">
        <f>IF($A205&lt;DATE(2018,7,1),"-",INDEX('I1 - Universal Data'!$E$15:$V$15, MATCH(YEAR(EOMONTH($A205,6)), 'I1 - Universal Data'!$E$14:$V$14, 0)))</f>
        <v>-</v>
      </c>
      <c r="G205" s="1114">
        <f t="shared" si="19"/>
        <v>100.3</v>
      </c>
      <c r="H205" s="1114">
        <f t="shared" si="19"/>
        <v>259.8</v>
      </c>
      <c r="U205" s="1102"/>
    </row>
    <row r="206" spans="1:21">
      <c r="A206" s="1111">
        <f t="shared" si="20"/>
        <v>42369</v>
      </c>
      <c r="B206" s="1112">
        <f t="shared" si="18"/>
        <v>2016</v>
      </c>
      <c r="C206" s="1279">
        <v>100.4</v>
      </c>
      <c r="D206" s="1279">
        <v>260.60000000000002</v>
      </c>
      <c r="E206" s="1113" t="str">
        <f>IF($A206&lt;DATE(2018,7,1),"-",INDEX('I1 - Universal Data'!$E$16:$V$16, MATCH(YEAR(EOMONTH($A206,6)), 'I1 - Universal Data'!$E$14:$V$14, 0)))</f>
        <v>-</v>
      </c>
      <c r="F206" s="1113" t="str">
        <f>IF($A206&lt;DATE(2018,7,1),"-",INDEX('I1 - Universal Data'!$E$15:$V$15, MATCH(YEAR(EOMONTH($A206,6)), 'I1 - Universal Data'!$E$14:$V$14, 0)))</f>
        <v>-</v>
      </c>
      <c r="G206" s="1114">
        <f t="shared" si="19"/>
        <v>100.4</v>
      </c>
      <c r="H206" s="1114">
        <f t="shared" si="19"/>
        <v>260.60000000000002</v>
      </c>
      <c r="U206" s="1102"/>
    </row>
    <row r="207" spans="1:21">
      <c r="A207" s="1111">
        <f t="shared" si="20"/>
        <v>42400</v>
      </c>
      <c r="B207" s="1112">
        <f t="shared" si="18"/>
        <v>2016</v>
      </c>
      <c r="C207" s="1279">
        <v>99.9</v>
      </c>
      <c r="D207" s="1279">
        <v>258.8</v>
      </c>
      <c r="E207" s="1113" t="str">
        <f>IF($A207&lt;DATE(2018,7,1),"-",INDEX('I1 - Universal Data'!$E$16:$V$16, MATCH(YEAR(EOMONTH($A207,6)), 'I1 - Universal Data'!$E$14:$V$14, 0)))</f>
        <v>-</v>
      </c>
      <c r="F207" s="1113" t="str">
        <f>IF($A207&lt;DATE(2018,7,1),"-",INDEX('I1 - Universal Data'!$E$15:$V$15, MATCH(YEAR(EOMONTH($A207,6)), 'I1 - Universal Data'!$E$14:$V$14, 0)))</f>
        <v>-</v>
      </c>
      <c r="G207" s="1114">
        <f t="shared" si="19"/>
        <v>99.9</v>
      </c>
      <c r="H207" s="1114">
        <f t="shared" si="19"/>
        <v>258.8</v>
      </c>
      <c r="U207" s="1102"/>
    </row>
    <row r="208" spans="1:21">
      <c r="A208" s="1111">
        <f t="shared" si="20"/>
        <v>42429</v>
      </c>
      <c r="B208" s="1112">
        <f t="shared" si="18"/>
        <v>2016</v>
      </c>
      <c r="C208" s="1279">
        <v>100.1</v>
      </c>
      <c r="D208" s="1279">
        <v>260</v>
      </c>
      <c r="E208" s="1113" t="str">
        <f>IF($A208&lt;DATE(2018,7,1),"-",INDEX('I1 - Universal Data'!$E$16:$V$16, MATCH(YEAR(EOMONTH($A208,6)), 'I1 - Universal Data'!$E$14:$V$14, 0)))</f>
        <v>-</v>
      </c>
      <c r="F208" s="1113" t="str">
        <f>IF($A208&lt;DATE(2018,7,1),"-",INDEX('I1 - Universal Data'!$E$15:$V$15, MATCH(YEAR(EOMONTH($A208,6)), 'I1 - Universal Data'!$E$14:$V$14, 0)))</f>
        <v>-</v>
      </c>
      <c r="G208" s="1114">
        <f t="shared" si="19"/>
        <v>100.1</v>
      </c>
      <c r="H208" s="1114">
        <f t="shared" si="19"/>
        <v>260</v>
      </c>
      <c r="U208" s="1102"/>
    </row>
    <row r="209" spans="1:21">
      <c r="A209" s="1111">
        <f t="shared" si="20"/>
        <v>42460</v>
      </c>
      <c r="B209" s="1112">
        <f t="shared" si="18"/>
        <v>2016</v>
      </c>
      <c r="C209" s="1279">
        <v>100.4</v>
      </c>
      <c r="D209" s="1279">
        <v>261.10000000000002</v>
      </c>
      <c r="E209" s="1113" t="str">
        <f>IF($A209&lt;DATE(2018,7,1),"-",INDEX('I1 - Universal Data'!$E$16:$V$16, MATCH(YEAR(EOMONTH($A209,6)), 'I1 - Universal Data'!$E$14:$V$14, 0)))</f>
        <v>-</v>
      </c>
      <c r="F209" s="1113" t="str">
        <f>IF($A209&lt;DATE(2018,7,1),"-",INDEX('I1 - Universal Data'!$E$15:$V$15, MATCH(YEAR(EOMONTH($A209,6)), 'I1 - Universal Data'!$E$14:$V$14, 0)))</f>
        <v>-</v>
      </c>
      <c r="G209" s="1114">
        <f t="shared" si="19"/>
        <v>100.4</v>
      </c>
      <c r="H209" s="1114">
        <f t="shared" si="19"/>
        <v>261.10000000000002</v>
      </c>
      <c r="U209" s="1102"/>
    </row>
    <row r="210" spans="1:21">
      <c r="A210" s="1111">
        <f t="shared" si="20"/>
        <v>42490</v>
      </c>
      <c r="B210" s="1112">
        <f t="shared" si="18"/>
        <v>2017</v>
      </c>
      <c r="C210" s="1279">
        <v>100.6</v>
      </c>
      <c r="D210" s="1279">
        <v>261.39999999999998</v>
      </c>
      <c r="E210" s="1113" t="str">
        <f>IF($A210&lt;DATE(2018,7,1),"-",INDEX('I1 - Universal Data'!$E$16:$V$16, MATCH(YEAR(EOMONTH($A210,6)), 'I1 - Universal Data'!$E$14:$V$14, 0)))</f>
        <v>-</v>
      </c>
      <c r="F210" s="1113" t="str">
        <f>IF($A210&lt;DATE(2018,7,1),"-",INDEX('I1 - Universal Data'!$E$15:$V$15, MATCH(YEAR(EOMONTH($A210,6)), 'I1 - Universal Data'!$E$14:$V$14, 0)))</f>
        <v>-</v>
      </c>
      <c r="G210" s="1114">
        <f t="shared" si="19"/>
        <v>100.6</v>
      </c>
      <c r="H210" s="1114">
        <f t="shared" si="19"/>
        <v>261.39999999999998</v>
      </c>
      <c r="U210" s="1102"/>
    </row>
    <row r="211" spans="1:21">
      <c r="A211" s="1111">
        <f t="shared" si="20"/>
        <v>42521</v>
      </c>
      <c r="B211" s="1112">
        <f t="shared" si="18"/>
        <v>2017</v>
      </c>
      <c r="C211" s="1279">
        <v>100.8</v>
      </c>
      <c r="D211" s="1279">
        <v>262.10000000000002</v>
      </c>
      <c r="E211" s="1113" t="str">
        <f>IF($A211&lt;DATE(2018,7,1),"-",INDEX('I1 - Universal Data'!$E$16:$V$16, MATCH(YEAR(EOMONTH($A211,6)), 'I1 - Universal Data'!$E$14:$V$14, 0)))</f>
        <v>-</v>
      </c>
      <c r="F211" s="1113" t="str">
        <f>IF($A211&lt;DATE(2018,7,1),"-",INDEX('I1 - Universal Data'!$E$15:$V$15, MATCH(YEAR(EOMONTH($A211,6)), 'I1 - Universal Data'!$E$14:$V$14, 0)))</f>
        <v>-</v>
      </c>
      <c r="G211" s="1114">
        <f t="shared" si="19"/>
        <v>100.8</v>
      </c>
      <c r="H211" s="1114">
        <f t="shared" si="19"/>
        <v>262.10000000000002</v>
      </c>
      <c r="U211" s="1102"/>
    </row>
    <row r="212" spans="1:21">
      <c r="A212" s="1111">
        <f t="shared" si="20"/>
        <v>42551</v>
      </c>
      <c r="B212" s="1112">
        <f t="shared" si="18"/>
        <v>2017</v>
      </c>
      <c r="C212" s="1279">
        <v>101</v>
      </c>
      <c r="D212" s="1279">
        <v>263.10000000000002</v>
      </c>
      <c r="E212" s="1113" t="str">
        <f>IF($A212&lt;DATE(2018,7,1),"-",INDEX('I1 - Universal Data'!$E$16:$V$16, MATCH(YEAR(EOMONTH($A212,6)), 'I1 - Universal Data'!$E$14:$V$14, 0)))</f>
        <v>-</v>
      </c>
      <c r="F212" s="1113" t="str">
        <f>IF($A212&lt;DATE(2018,7,1),"-",INDEX('I1 - Universal Data'!$E$15:$V$15, MATCH(YEAR(EOMONTH($A212,6)), 'I1 - Universal Data'!$E$14:$V$14, 0)))</f>
        <v>-</v>
      </c>
      <c r="G212" s="1114">
        <f t="shared" si="19"/>
        <v>101</v>
      </c>
      <c r="H212" s="1114">
        <f t="shared" si="19"/>
        <v>263.10000000000002</v>
      </c>
      <c r="U212" s="1102"/>
    </row>
    <row r="213" spans="1:21">
      <c r="A213" s="1111">
        <f t="shared" si="20"/>
        <v>42582</v>
      </c>
      <c r="B213" s="1112">
        <f t="shared" si="18"/>
        <v>2017</v>
      </c>
      <c r="C213" s="1279">
        <v>100.9</v>
      </c>
      <c r="D213" s="1279">
        <v>263.39999999999998</v>
      </c>
      <c r="E213" s="1113" t="str">
        <f>IF($A213&lt;DATE(2018,7,1),"-",INDEX('I1 - Universal Data'!$E$16:$V$16, MATCH(YEAR(EOMONTH($A213,6)), 'I1 - Universal Data'!$E$14:$V$14, 0)))</f>
        <v>-</v>
      </c>
      <c r="F213" s="1113" t="str">
        <f>IF($A213&lt;DATE(2018,7,1),"-",INDEX('I1 - Universal Data'!$E$15:$V$15, MATCH(YEAR(EOMONTH($A213,6)), 'I1 - Universal Data'!$E$14:$V$14, 0)))</f>
        <v>-</v>
      </c>
      <c r="G213" s="1114">
        <f t="shared" si="19"/>
        <v>100.9</v>
      </c>
      <c r="H213" s="1114">
        <f t="shared" si="19"/>
        <v>263.39999999999998</v>
      </c>
      <c r="U213" s="1102"/>
    </row>
    <row r="214" spans="1:21">
      <c r="A214" s="1111">
        <f t="shared" si="20"/>
        <v>42613</v>
      </c>
      <c r="B214" s="1112">
        <f t="shared" si="18"/>
        <v>2017</v>
      </c>
      <c r="C214" s="1279">
        <v>101.2</v>
      </c>
      <c r="D214" s="1279">
        <v>264.39999999999998</v>
      </c>
      <c r="E214" s="1113" t="str">
        <f>IF($A214&lt;DATE(2018,7,1),"-",INDEX('I1 - Universal Data'!$E$16:$V$16, MATCH(YEAR(EOMONTH($A214,6)), 'I1 - Universal Data'!$E$14:$V$14, 0)))</f>
        <v>-</v>
      </c>
      <c r="F214" s="1113" t="str">
        <f>IF($A214&lt;DATE(2018,7,1),"-",INDEX('I1 - Universal Data'!$E$15:$V$15, MATCH(YEAR(EOMONTH($A214,6)), 'I1 - Universal Data'!$E$14:$V$14, 0)))</f>
        <v>-</v>
      </c>
      <c r="G214" s="1114">
        <f t="shared" ref="G214:H229" si="21">IF(ISBLANK(C214),G213*((1+E214)^(1/12)),C214)</f>
        <v>101.2</v>
      </c>
      <c r="H214" s="1114">
        <f t="shared" si="21"/>
        <v>264.39999999999998</v>
      </c>
      <c r="U214" s="1102"/>
    </row>
    <row r="215" spans="1:21">
      <c r="A215" s="1111">
        <f t="shared" si="20"/>
        <v>42643</v>
      </c>
      <c r="B215" s="1112">
        <f t="shared" si="18"/>
        <v>2017</v>
      </c>
      <c r="C215" s="1279">
        <v>101.5</v>
      </c>
      <c r="D215" s="1279">
        <v>264.89999999999998</v>
      </c>
      <c r="E215" s="1113" t="str">
        <f>IF($A215&lt;DATE(2018,7,1),"-",INDEX('I1 - Universal Data'!$E$16:$V$16, MATCH(YEAR(EOMONTH($A215,6)), 'I1 - Universal Data'!$E$14:$V$14, 0)))</f>
        <v>-</v>
      </c>
      <c r="F215" s="1113" t="str">
        <f>IF($A215&lt;DATE(2018,7,1),"-",INDEX('I1 - Universal Data'!$E$15:$V$15, MATCH(YEAR(EOMONTH($A215,6)), 'I1 - Universal Data'!$E$14:$V$14, 0)))</f>
        <v>-</v>
      </c>
      <c r="G215" s="1114">
        <f t="shared" si="21"/>
        <v>101.5</v>
      </c>
      <c r="H215" s="1114">
        <f t="shared" si="21"/>
        <v>264.89999999999998</v>
      </c>
      <c r="U215" s="1102"/>
    </row>
    <row r="216" spans="1:21">
      <c r="A216" s="1111">
        <f t="shared" si="20"/>
        <v>42674</v>
      </c>
      <c r="B216" s="1112">
        <f t="shared" si="18"/>
        <v>2017</v>
      </c>
      <c r="C216" s="1279">
        <v>101.6</v>
      </c>
      <c r="D216" s="1279">
        <v>264.8</v>
      </c>
      <c r="E216" s="1113" t="str">
        <f>IF($A216&lt;DATE(2018,7,1),"-",INDEX('I1 - Universal Data'!$E$16:$V$16, MATCH(YEAR(EOMONTH($A216,6)), 'I1 - Universal Data'!$E$14:$V$14, 0)))</f>
        <v>-</v>
      </c>
      <c r="F216" s="1113" t="str">
        <f>IF($A216&lt;DATE(2018,7,1),"-",INDEX('I1 - Universal Data'!$E$15:$V$15, MATCH(YEAR(EOMONTH($A216,6)), 'I1 - Universal Data'!$E$14:$V$14, 0)))</f>
        <v>-</v>
      </c>
      <c r="G216" s="1114">
        <f t="shared" si="21"/>
        <v>101.6</v>
      </c>
      <c r="H216" s="1114">
        <f t="shared" si="21"/>
        <v>264.8</v>
      </c>
      <c r="U216" s="1102"/>
    </row>
    <row r="217" spans="1:21">
      <c r="A217" s="1111">
        <f t="shared" si="20"/>
        <v>42704</v>
      </c>
      <c r="B217" s="1112">
        <f t="shared" si="18"/>
        <v>2017</v>
      </c>
      <c r="C217" s="1279">
        <v>101.8</v>
      </c>
      <c r="D217" s="1279">
        <v>265.5</v>
      </c>
      <c r="E217" s="1113" t="str">
        <f>IF($A217&lt;DATE(2018,7,1),"-",INDEX('I1 - Universal Data'!$E$16:$V$16, MATCH(YEAR(EOMONTH($A217,6)), 'I1 - Universal Data'!$E$14:$V$14, 0)))</f>
        <v>-</v>
      </c>
      <c r="F217" s="1113" t="str">
        <f>IF($A217&lt;DATE(2018,7,1),"-",INDEX('I1 - Universal Data'!$E$15:$V$15, MATCH(YEAR(EOMONTH($A217,6)), 'I1 - Universal Data'!$E$14:$V$14, 0)))</f>
        <v>-</v>
      </c>
      <c r="G217" s="1114">
        <f t="shared" si="21"/>
        <v>101.8</v>
      </c>
      <c r="H217" s="1114">
        <f t="shared" si="21"/>
        <v>265.5</v>
      </c>
      <c r="U217" s="1102"/>
    </row>
    <row r="218" spans="1:21">
      <c r="A218" s="1111">
        <f t="shared" si="20"/>
        <v>42735</v>
      </c>
      <c r="B218" s="1112">
        <f t="shared" si="18"/>
        <v>2017</v>
      </c>
      <c r="C218" s="1279">
        <v>102.2</v>
      </c>
      <c r="D218" s="1279">
        <v>267.10000000000002</v>
      </c>
      <c r="E218" s="1113" t="str">
        <f>IF($A218&lt;DATE(2018,7,1),"-",INDEX('I1 - Universal Data'!$E$16:$V$16, MATCH(YEAR(EOMONTH($A218,6)), 'I1 - Universal Data'!$E$14:$V$14, 0)))</f>
        <v>-</v>
      </c>
      <c r="F218" s="1113" t="str">
        <f>IF($A218&lt;DATE(2018,7,1),"-",INDEX('I1 - Universal Data'!$E$15:$V$15, MATCH(YEAR(EOMONTH($A218,6)), 'I1 - Universal Data'!$E$14:$V$14, 0)))</f>
        <v>-</v>
      </c>
      <c r="G218" s="1114">
        <f t="shared" si="21"/>
        <v>102.2</v>
      </c>
      <c r="H218" s="1114">
        <f t="shared" si="21"/>
        <v>267.10000000000002</v>
      </c>
      <c r="U218" s="1102"/>
    </row>
    <row r="219" spans="1:21">
      <c r="A219" s="1111">
        <f t="shared" si="20"/>
        <v>42766</v>
      </c>
      <c r="B219" s="1112">
        <f t="shared" si="18"/>
        <v>2017</v>
      </c>
      <c r="C219" s="1279">
        <v>101.8</v>
      </c>
      <c r="D219" s="1279">
        <v>265.5</v>
      </c>
      <c r="E219" s="1113" t="str">
        <f>IF($A219&lt;DATE(2018,7,1),"-",INDEX('I1 - Universal Data'!$E$16:$V$16, MATCH(YEAR(EOMONTH($A219,6)), 'I1 - Universal Data'!$E$14:$V$14, 0)))</f>
        <v>-</v>
      </c>
      <c r="F219" s="1113" t="str">
        <f>IF($A219&lt;DATE(2018,7,1),"-",INDEX('I1 - Universal Data'!$E$15:$V$15, MATCH(YEAR(EOMONTH($A219,6)), 'I1 - Universal Data'!$E$14:$V$14, 0)))</f>
        <v>-</v>
      </c>
      <c r="G219" s="1114">
        <f t="shared" si="21"/>
        <v>101.8</v>
      </c>
      <c r="H219" s="1114">
        <f t="shared" si="21"/>
        <v>265.5</v>
      </c>
      <c r="U219" s="1102"/>
    </row>
    <row r="220" spans="1:21">
      <c r="A220" s="1111">
        <f t="shared" si="20"/>
        <v>42794</v>
      </c>
      <c r="B220" s="1112">
        <f t="shared" si="18"/>
        <v>2017</v>
      </c>
      <c r="C220" s="1279">
        <v>102.4</v>
      </c>
      <c r="D220" s="1279">
        <v>268.39999999999998</v>
      </c>
      <c r="E220" s="1113" t="str">
        <f>IF($A220&lt;DATE(2018,7,1),"-",INDEX('I1 - Universal Data'!$E$16:$V$16, MATCH(YEAR(EOMONTH($A220,6)), 'I1 - Universal Data'!$E$14:$V$14, 0)))</f>
        <v>-</v>
      </c>
      <c r="F220" s="1113" t="str">
        <f>IF($A220&lt;DATE(2018,7,1),"-",INDEX('I1 - Universal Data'!$E$15:$V$15, MATCH(YEAR(EOMONTH($A220,6)), 'I1 - Universal Data'!$E$14:$V$14, 0)))</f>
        <v>-</v>
      </c>
      <c r="G220" s="1114">
        <f t="shared" si="21"/>
        <v>102.4</v>
      </c>
      <c r="H220" s="1114">
        <f t="shared" si="21"/>
        <v>268.39999999999998</v>
      </c>
      <c r="U220" s="1102"/>
    </row>
    <row r="221" spans="1:21">
      <c r="A221" s="1111">
        <f t="shared" si="20"/>
        <v>42825</v>
      </c>
      <c r="B221" s="1112">
        <f t="shared" si="18"/>
        <v>2017</v>
      </c>
      <c r="C221" s="1279">
        <v>102.7</v>
      </c>
      <c r="D221" s="1279">
        <v>269.3</v>
      </c>
      <c r="E221" s="1113" t="str">
        <f>IF($A221&lt;DATE(2018,7,1),"-",INDEX('I1 - Universal Data'!$E$16:$V$16, MATCH(YEAR(EOMONTH($A221,6)), 'I1 - Universal Data'!$E$14:$V$14, 0)))</f>
        <v>-</v>
      </c>
      <c r="F221" s="1113" t="str">
        <f>IF($A221&lt;DATE(2018,7,1),"-",INDEX('I1 - Universal Data'!$E$15:$V$15, MATCH(YEAR(EOMONTH($A221,6)), 'I1 - Universal Data'!$E$14:$V$14, 0)))</f>
        <v>-</v>
      </c>
      <c r="G221" s="1114">
        <f t="shared" si="21"/>
        <v>102.7</v>
      </c>
      <c r="H221" s="1114">
        <f t="shared" si="21"/>
        <v>269.3</v>
      </c>
      <c r="U221" s="1102"/>
    </row>
    <row r="222" spans="1:21">
      <c r="A222" s="1111">
        <f t="shared" si="20"/>
        <v>42855</v>
      </c>
      <c r="B222" s="1112">
        <f t="shared" si="18"/>
        <v>2018</v>
      </c>
      <c r="C222" s="1279">
        <v>103.2</v>
      </c>
      <c r="D222" s="1279">
        <v>270.60000000000002</v>
      </c>
      <c r="E222" s="1113" t="str">
        <f>IF($A222&lt;DATE(2018,7,1),"-",INDEX('I1 - Universal Data'!$E$16:$V$16, MATCH(YEAR(EOMONTH($A222,6)), 'I1 - Universal Data'!$E$14:$V$14, 0)))</f>
        <v>-</v>
      </c>
      <c r="F222" s="1113" t="str">
        <f>IF($A222&lt;DATE(2018,7,1),"-",INDEX('I1 - Universal Data'!$E$15:$V$15, MATCH(YEAR(EOMONTH($A222,6)), 'I1 - Universal Data'!$E$14:$V$14, 0)))</f>
        <v>-</v>
      </c>
      <c r="G222" s="1114">
        <f t="shared" si="21"/>
        <v>103.2</v>
      </c>
      <c r="H222" s="1114">
        <f t="shared" si="21"/>
        <v>270.60000000000002</v>
      </c>
      <c r="U222" s="1102"/>
    </row>
    <row r="223" spans="1:21">
      <c r="A223" s="1111">
        <f t="shared" si="20"/>
        <v>42886</v>
      </c>
      <c r="B223" s="1112">
        <f t="shared" si="18"/>
        <v>2018</v>
      </c>
      <c r="C223" s="1279">
        <v>103.5</v>
      </c>
      <c r="D223" s="1279">
        <v>271.7</v>
      </c>
      <c r="E223" s="1113" t="str">
        <f>IF($A223&lt;DATE(2018,7,1),"-",INDEX('I1 - Universal Data'!$E$16:$V$16, MATCH(YEAR(EOMONTH($A223,6)), 'I1 - Universal Data'!$E$14:$V$14, 0)))</f>
        <v>-</v>
      </c>
      <c r="F223" s="1113" t="str">
        <f>IF($A223&lt;DATE(2018,7,1),"-",INDEX('I1 - Universal Data'!$E$15:$V$15, MATCH(YEAR(EOMONTH($A223,6)), 'I1 - Universal Data'!$E$14:$V$14, 0)))</f>
        <v>-</v>
      </c>
      <c r="G223" s="1114">
        <f t="shared" si="21"/>
        <v>103.5</v>
      </c>
      <c r="H223" s="1114">
        <f t="shared" si="21"/>
        <v>271.7</v>
      </c>
      <c r="U223" s="1102"/>
    </row>
    <row r="224" spans="1:21">
      <c r="A224" s="1111">
        <f t="shared" si="20"/>
        <v>42916</v>
      </c>
      <c r="B224" s="1112">
        <f t="shared" si="18"/>
        <v>2018</v>
      </c>
      <c r="C224" s="1279">
        <v>103.5</v>
      </c>
      <c r="D224" s="1279">
        <v>272.3</v>
      </c>
      <c r="E224" s="1113" t="str">
        <f>IF($A224&lt;DATE(2018,7,1),"-",INDEX('I1 - Universal Data'!$E$16:$V$16, MATCH(YEAR(EOMONTH($A224,6)), 'I1 - Universal Data'!$E$14:$V$14, 0)))</f>
        <v>-</v>
      </c>
      <c r="F224" s="1113" t="str">
        <f>IF($A224&lt;DATE(2018,7,1),"-",INDEX('I1 - Universal Data'!$E$15:$V$15, MATCH(YEAR(EOMONTH($A224,6)), 'I1 - Universal Data'!$E$14:$V$14, 0)))</f>
        <v>-</v>
      </c>
      <c r="G224" s="1114">
        <f t="shared" si="21"/>
        <v>103.5</v>
      </c>
      <c r="H224" s="1114">
        <f t="shared" si="21"/>
        <v>272.3</v>
      </c>
      <c r="U224" s="1102"/>
    </row>
    <row r="225" spans="1:21">
      <c r="A225" s="1111">
        <f t="shared" si="20"/>
        <v>42947</v>
      </c>
      <c r="B225" s="1112">
        <f t="shared" si="18"/>
        <v>2018</v>
      </c>
      <c r="C225" s="1279">
        <v>103.5</v>
      </c>
      <c r="D225" s="1279">
        <v>272.89999999999998</v>
      </c>
      <c r="E225" s="1113" t="str">
        <f>IF($A225&lt;DATE(2018,7,1),"-",INDEX('I1 - Universal Data'!$E$16:$V$16, MATCH(YEAR(EOMONTH($A225,6)), 'I1 - Universal Data'!$E$14:$V$14, 0)))</f>
        <v>-</v>
      </c>
      <c r="F225" s="1113" t="str">
        <f>IF($A225&lt;DATE(2018,7,1),"-",INDEX('I1 - Universal Data'!$E$15:$V$15, MATCH(YEAR(EOMONTH($A225,6)), 'I1 - Universal Data'!$E$14:$V$14, 0)))</f>
        <v>-</v>
      </c>
      <c r="G225" s="1114">
        <f t="shared" si="21"/>
        <v>103.5</v>
      </c>
      <c r="H225" s="1114">
        <f t="shared" si="21"/>
        <v>272.89999999999998</v>
      </c>
      <c r="U225" s="1102"/>
    </row>
    <row r="226" spans="1:21">
      <c r="A226" s="1111">
        <f t="shared" si="20"/>
        <v>42978</v>
      </c>
      <c r="B226" s="1112">
        <f t="shared" si="18"/>
        <v>2018</v>
      </c>
      <c r="C226" s="1279">
        <v>104</v>
      </c>
      <c r="D226" s="1279">
        <v>274.7</v>
      </c>
      <c r="E226" s="1113" t="str">
        <f>IF($A226&lt;DATE(2018,7,1),"-",INDEX('I1 - Universal Data'!$E$16:$V$16, MATCH(YEAR(EOMONTH($A226,6)), 'I1 - Universal Data'!$E$14:$V$14, 0)))</f>
        <v>-</v>
      </c>
      <c r="F226" s="1113" t="str">
        <f>IF($A226&lt;DATE(2018,7,1),"-",INDEX('I1 - Universal Data'!$E$15:$V$15, MATCH(YEAR(EOMONTH($A226,6)), 'I1 - Universal Data'!$E$14:$V$14, 0)))</f>
        <v>-</v>
      </c>
      <c r="G226" s="1114">
        <f t="shared" si="21"/>
        <v>104</v>
      </c>
      <c r="H226" s="1114">
        <f t="shared" si="21"/>
        <v>274.7</v>
      </c>
      <c r="U226" s="1102"/>
    </row>
    <row r="227" spans="1:21">
      <c r="A227" s="1111">
        <f t="shared" si="20"/>
        <v>43008</v>
      </c>
      <c r="B227" s="1112">
        <f t="shared" si="18"/>
        <v>2018</v>
      </c>
      <c r="C227" s="1279">
        <v>104.3</v>
      </c>
      <c r="D227" s="1279">
        <v>275.10000000000002</v>
      </c>
      <c r="E227" s="1113" t="str">
        <f>IF($A227&lt;DATE(2018,7,1),"-",INDEX('I1 - Universal Data'!$E$16:$V$16, MATCH(YEAR(EOMONTH($A227,6)), 'I1 - Universal Data'!$E$14:$V$14, 0)))</f>
        <v>-</v>
      </c>
      <c r="F227" s="1113" t="str">
        <f>IF($A227&lt;DATE(2018,7,1),"-",INDEX('I1 - Universal Data'!$E$15:$V$15, MATCH(YEAR(EOMONTH($A227,6)), 'I1 - Universal Data'!$E$14:$V$14, 0)))</f>
        <v>-</v>
      </c>
      <c r="G227" s="1114">
        <f t="shared" si="21"/>
        <v>104.3</v>
      </c>
      <c r="H227" s="1114">
        <f t="shared" si="21"/>
        <v>275.10000000000002</v>
      </c>
      <c r="U227" s="1102"/>
    </row>
    <row r="228" spans="1:21">
      <c r="A228" s="1111">
        <f t="shared" si="20"/>
        <v>43039</v>
      </c>
      <c r="B228" s="1112">
        <f t="shared" si="18"/>
        <v>2018</v>
      </c>
      <c r="C228" s="1279">
        <v>104.4</v>
      </c>
      <c r="D228" s="1279">
        <v>275.3</v>
      </c>
      <c r="E228" s="1113" t="str">
        <f>IF($A228&lt;DATE(2018,7,1),"-",INDEX('I1 - Universal Data'!$E$16:$V$16, MATCH(YEAR(EOMONTH($A228,6)), 'I1 - Universal Data'!$E$14:$V$14, 0)))</f>
        <v>-</v>
      </c>
      <c r="F228" s="1113" t="str">
        <f>IF($A228&lt;DATE(2018,7,1),"-",INDEX('I1 - Universal Data'!$E$15:$V$15, MATCH(YEAR(EOMONTH($A228,6)), 'I1 - Universal Data'!$E$14:$V$14, 0)))</f>
        <v>-</v>
      </c>
      <c r="G228" s="1114">
        <f t="shared" si="21"/>
        <v>104.4</v>
      </c>
      <c r="H228" s="1114">
        <f t="shared" si="21"/>
        <v>275.3</v>
      </c>
      <c r="U228" s="1102"/>
    </row>
    <row r="229" spans="1:21">
      <c r="A229" s="1111">
        <f t="shared" si="20"/>
        <v>43069</v>
      </c>
      <c r="B229" s="1112">
        <f t="shared" si="18"/>
        <v>2018</v>
      </c>
      <c r="C229" s="1279">
        <v>104.7</v>
      </c>
      <c r="D229" s="1279">
        <v>275.8</v>
      </c>
      <c r="E229" s="1113" t="str">
        <f>IF($A229&lt;DATE(2018,7,1),"-",INDEX('I1 - Universal Data'!$E$16:$V$16, MATCH(YEAR(EOMONTH($A229,6)), 'I1 - Universal Data'!$E$14:$V$14, 0)))</f>
        <v>-</v>
      </c>
      <c r="F229" s="1113" t="str">
        <f>IF($A229&lt;DATE(2018,7,1),"-",INDEX('I1 - Universal Data'!$E$15:$V$15, MATCH(YEAR(EOMONTH($A229,6)), 'I1 - Universal Data'!$E$14:$V$14, 0)))</f>
        <v>-</v>
      </c>
      <c r="G229" s="1114">
        <f t="shared" si="21"/>
        <v>104.7</v>
      </c>
      <c r="H229" s="1114">
        <f t="shared" si="21"/>
        <v>275.8</v>
      </c>
      <c r="U229" s="1102"/>
    </row>
    <row r="230" spans="1:21">
      <c r="A230" s="1111">
        <f t="shared" si="20"/>
        <v>43100</v>
      </c>
      <c r="B230" s="1112">
        <f t="shared" si="18"/>
        <v>2018</v>
      </c>
      <c r="C230" s="1279">
        <v>105</v>
      </c>
      <c r="D230" s="1279">
        <v>278.10000000000002</v>
      </c>
      <c r="E230" s="1113" t="str">
        <f>IF($A230&lt;DATE(2018,7,1),"-",INDEX('I1 - Universal Data'!$E$16:$V$16, MATCH(YEAR(EOMONTH($A230,6)), 'I1 - Universal Data'!$E$14:$V$14, 0)))</f>
        <v>-</v>
      </c>
      <c r="F230" s="1113" t="str">
        <f>IF($A230&lt;DATE(2018,7,1),"-",INDEX('I1 - Universal Data'!$E$15:$V$15, MATCH(YEAR(EOMONTH($A230,6)), 'I1 - Universal Data'!$E$14:$V$14, 0)))</f>
        <v>-</v>
      </c>
      <c r="G230" s="1114">
        <f t="shared" ref="G230:H245" si="22">IF(ISBLANK(C230),G229*((1+E230)^(1/12)),C230)</f>
        <v>105</v>
      </c>
      <c r="H230" s="1114">
        <f t="shared" si="22"/>
        <v>278.10000000000002</v>
      </c>
      <c r="U230" s="1102"/>
    </row>
    <row r="231" spans="1:21">
      <c r="A231" s="1111">
        <f t="shared" si="20"/>
        <v>43131</v>
      </c>
      <c r="B231" s="1112">
        <f t="shared" si="18"/>
        <v>2018</v>
      </c>
      <c r="C231" s="1279">
        <v>104.5</v>
      </c>
      <c r="D231" s="1279">
        <v>276</v>
      </c>
      <c r="E231" s="1113" t="str">
        <f>IF($A231&lt;DATE(2018,7,1),"-",INDEX('I1 - Universal Data'!$E$16:$V$16, MATCH(YEAR(EOMONTH($A231,6)), 'I1 - Universal Data'!$E$14:$V$14, 0)))</f>
        <v>-</v>
      </c>
      <c r="F231" s="1113" t="str">
        <f>IF($A231&lt;DATE(2018,7,1),"-",INDEX('I1 - Universal Data'!$E$15:$V$15, MATCH(YEAR(EOMONTH($A231,6)), 'I1 - Universal Data'!$E$14:$V$14, 0)))</f>
        <v>-</v>
      </c>
      <c r="G231" s="1114">
        <f t="shared" si="22"/>
        <v>104.5</v>
      </c>
      <c r="H231" s="1114">
        <f t="shared" si="22"/>
        <v>276</v>
      </c>
      <c r="U231" s="1102"/>
    </row>
    <row r="232" spans="1:21">
      <c r="A232" s="1111">
        <f t="shared" si="20"/>
        <v>43159</v>
      </c>
      <c r="B232" s="1112">
        <f t="shared" si="18"/>
        <v>2018</v>
      </c>
      <c r="C232" s="1279">
        <v>104.9</v>
      </c>
      <c r="D232" s="1279">
        <v>278.10000000000002</v>
      </c>
      <c r="E232" s="1113" t="str">
        <f>IF($A232&lt;DATE(2018,7,1),"-",INDEX('I1 - Universal Data'!$E$16:$V$16, MATCH(YEAR(EOMONTH($A232,6)), 'I1 - Universal Data'!$E$14:$V$14, 0)))</f>
        <v>-</v>
      </c>
      <c r="F232" s="1113" t="str">
        <f>IF($A232&lt;DATE(2018,7,1),"-",INDEX('I1 - Universal Data'!$E$15:$V$15, MATCH(YEAR(EOMONTH($A232,6)), 'I1 - Universal Data'!$E$14:$V$14, 0)))</f>
        <v>-</v>
      </c>
      <c r="G232" s="1114">
        <f t="shared" si="22"/>
        <v>104.9</v>
      </c>
      <c r="H232" s="1114">
        <f t="shared" si="22"/>
        <v>278.10000000000002</v>
      </c>
      <c r="U232" s="1102"/>
    </row>
    <row r="233" spans="1:21">
      <c r="A233" s="1111">
        <f t="shared" si="20"/>
        <v>43190</v>
      </c>
      <c r="B233" s="1112">
        <f t="shared" si="18"/>
        <v>2018</v>
      </c>
      <c r="C233" s="1279">
        <v>105.1</v>
      </c>
      <c r="D233" s="1279">
        <v>278.3</v>
      </c>
      <c r="E233" s="1113" t="str">
        <f>IF($A233&lt;DATE(2018,7,1),"-",INDEX('I1 - Universal Data'!$E$16:$V$16, MATCH(YEAR(EOMONTH($A233,6)), 'I1 - Universal Data'!$E$14:$V$14, 0)))</f>
        <v>-</v>
      </c>
      <c r="F233" s="1113" t="str">
        <f>IF($A233&lt;DATE(2018,7,1),"-",INDEX('I1 - Universal Data'!$E$15:$V$15, MATCH(YEAR(EOMONTH($A233,6)), 'I1 - Universal Data'!$E$14:$V$14, 0)))</f>
        <v>-</v>
      </c>
      <c r="G233" s="1114">
        <f t="shared" si="22"/>
        <v>105.1</v>
      </c>
      <c r="H233" s="1114">
        <f t="shared" si="22"/>
        <v>278.3</v>
      </c>
      <c r="U233" s="1102"/>
    </row>
    <row r="234" spans="1:21">
      <c r="A234" s="1111">
        <f t="shared" si="20"/>
        <v>43220</v>
      </c>
      <c r="B234" s="1112">
        <f t="shared" si="18"/>
        <v>2019</v>
      </c>
      <c r="C234" s="1279">
        <v>105.5</v>
      </c>
      <c r="D234" s="1279">
        <v>279.7</v>
      </c>
      <c r="E234" s="1113" t="str">
        <f>IF($A234&lt;DATE(2018,7,1),"-",INDEX('I1 - Universal Data'!$E$16:$V$16, MATCH(YEAR(EOMONTH($A234,6)), 'I1 - Universal Data'!$E$14:$V$14, 0)))</f>
        <v>-</v>
      </c>
      <c r="F234" s="1113" t="str">
        <f>IF($A234&lt;DATE(2018,7,1),"-",INDEX('I1 - Universal Data'!$E$15:$V$15, MATCH(YEAR(EOMONTH($A234,6)), 'I1 - Universal Data'!$E$14:$V$14, 0)))</f>
        <v>-</v>
      </c>
      <c r="G234" s="1114">
        <f t="shared" si="22"/>
        <v>105.5</v>
      </c>
      <c r="H234" s="1114">
        <f t="shared" si="22"/>
        <v>279.7</v>
      </c>
      <c r="U234" s="1102"/>
    </row>
    <row r="235" spans="1:21">
      <c r="A235" s="1111">
        <f t="shared" si="20"/>
        <v>43251</v>
      </c>
      <c r="B235" s="1112">
        <f t="shared" si="18"/>
        <v>2019</v>
      </c>
      <c r="C235" s="1279">
        <v>105.9</v>
      </c>
      <c r="D235" s="1279">
        <v>280.7</v>
      </c>
      <c r="E235" s="1113" t="str">
        <f>IF($A235&lt;DATE(2018,7,1),"-",INDEX('I1 - Universal Data'!$E$16:$V$16, MATCH(YEAR(EOMONTH($A235,6)), 'I1 - Universal Data'!$E$14:$V$14, 0)))</f>
        <v>-</v>
      </c>
      <c r="F235" s="1113" t="str">
        <f>IF($A235&lt;DATE(2018,7,1),"-",INDEX('I1 - Universal Data'!$E$15:$V$15, MATCH(YEAR(EOMONTH($A235,6)), 'I1 - Universal Data'!$E$14:$V$14, 0)))</f>
        <v>-</v>
      </c>
      <c r="G235" s="1114">
        <f t="shared" si="22"/>
        <v>105.9</v>
      </c>
      <c r="H235" s="1114">
        <f t="shared" si="22"/>
        <v>280.7</v>
      </c>
      <c r="U235" s="1102"/>
    </row>
    <row r="236" spans="1:21">
      <c r="A236" s="1111">
        <f t="shared" si="20"/>
        <v>43281</v>
      </c>
      <c r="B236" s="1112">
        <f t="shared" si="18"/>
        <v>2019</v>
      </c>
      <c r="C236" s="1279">
        <v>105.9</v>
      </c>
      <c r="D236" s="1279">
        <v>281.5</v>
      </c>
      <c r="E236" s="1113" t="str">
        <f>IF($A236&lt;DATE(2018,7,1),"-",INDEX('I1 - Universal Data'!$E$16:$V$16, MATCH(YEAR(EOMONTH($A236,6)), 'I1 - Universal Data'!$E$14:$V$14, 0)))</f>
        <v>-</v>
      </c>
      <c r="F236" s="1113" t="str">
        <f>IF($A236&lt;DATE(2018,7,1),"-",INDEX('I1 - Universal Data'!$E$15:$V$15, MATCH(YEAR(EOMONTH($A236,6)), 'I1 - Universal Data'!$E$14:$V$14, 0)))</f>
        <v>-</v>
      </c>
      <c r="G236" s="1114">
        <f t="shared" si="22"/>
        <v>105.9</v>
      </c>
      <c r="H236" s="1114">
        <f t="shared" si="22"/>
        <v>281.5</v>
      </c>
      <c r="U236" s="1102"/>
    </row>
    <row r="237" spans="1:21">
      <c r="A237" s="1111">
        <f t="shared" si="20"/>
        <v>43312</v>
      </c>
      <c r="B237" s="1112">
        <f t="shared" si="18"/>
        <v>2019</v>
      </c>
      <c r="C237" s="1279">
        <v>105.9</v>
      </c>
      <c r="D237" s="1279">
        <v>281.7</v>
      </c>
      <c r="E237" s="1113">
        <f>IF($A237&lt;DATE(2018,7,1),"-",INDEX('I1 - Universal Data'!$E$16:$V$16, MATCH(YEAR(EOMONTH($A237,6)), 'I1 - Universal Data'!$E$14:$V$14, 0)))</f>
        <v>1.7910205867057716E-2</v>
      </c>
      <c r="F237" s="1113">
        <f>IF($A237&lt;DATE(2018,7,1),"-",INDEX('I1 - Universal Data'!$E$15:$V$15, MATCH(YEAR(EOMONTH($A237,6)), 'I1 - Universal Data'!$E$14:$V$14, 0)))</f>
        <v>2.5628884588821732E-2</v>
      </c>
      <c r="G237" s="1114">
        <f t="shared" si="22"/>
        <v>105.9</v>
      </c>
      <c r="H237" s="1114">
        <f t="shared" si="22"/>
        <v>281.7</v>
      </c>
      <c r="U237" s="1102"/>
    </row>
    <row r="238" spans="1:21">
      <c r="A238" s="1111">
        <f t="shared" si="20"/>
        <v>43343</v>
      </c>
      <c r="B238" s="1112">
        <f t="shared" si="18"/>
        <v>2019</v>
      </c>
      <c r="C238" s="1279">
        <v>106.5</v>
      </c>
      <c r="D238" s="1279">
        <v>284.2</v>
      </c>
      <c r="E238" s="1113">
        <f>IF($A238&lt;DATE(2018,7,1),"-",INDEX('I1 - Universal Data'!$E$16:$V$16, MATCH(YEAR(EOMONTH($A238,6)), 'I1 - Universal Data'!$E$14:$V$14, 0)))</f>
        <v>1.7910205867057716E-2</v>
      </c>
      <c r="F238" s="1113">
        <f>IF($A238&lt;DATE(2018,7,1),"-",INDEX('I1 - Universal Data'!$E$15:$V$15, MATCH(YEAR(EOMONTH($A238,6)), 'I1 - Universal Data'!$E$14:$V$14, 0)))</f>
        <v>2.5628884588821732E-2</v>
      </c>
      <c r="G238" s="1114">
        <f t="shared" si="22"/>
        <v>106.5</v>
      </c>
      <c r="H238" s="1114">
        <f t="shared" si="22"/>
        <v>284.2</v>
      </c>
      <c r="U238" s="1102"/>
    </row>
    <row r="239" spans="1:21">
      <c r="A239" s="1111">
        <f t="shared" si="20"/>
        <v>43373</v>
      </c>
      <c r="B239" s="1112">
        <f t="shared" si="18"/>
        <v>2019</v>
      </c>
      <c r="C239" s="1279">
        <v>106.6</v>
      </c>
      <c r="D239" s="1279">
        <v>284.10000000000002</v>
      </c>
      <c r="E239" s="1113">
        <f>IF($A239&lt;DATE(2018,7,1),"-",INDEX('I1 - Universal Data'!$E$16:$V$16, MATCH(YEAR(EOMONTH($A239,6)), 'I1 - Universal Data'!$E$14:$V$14, 0)))</f>
        <v>1.7910205867057716E-2</v>
      </c>
      <c r="F239" s="1113">
        <f>IF($A239&lt;DATE(2018,7,1),"-",INDEX('I1 - Universal Data'!$E$15:$V$15, MATCH(YEAR(EOMONTH($A239,6)), 'I1 - Universal Data'!$E$14:$V$14, 0)))</f>
        <v>2.5628884588821732E-2</v>
      </c>
      <c r="G239" s="1114">
        <f t="shared" si="22"/>
        <v>106.6</v>
      </c>
      <c r="H239" s="1114">
        <f t="shared" si="22"/>
        <v>284.10000000000002</v>
      </c>
      <c r="U239" s="1102"/>
    </row>
    <row r="240" spans="1:21">
      <c r="A240" s="1111">
        <f t="shared" si="20"/>
        <v>43404</v>
      </c>
      <c r="B240" s="1112">
        <f t="shared" si="18"/>
        <v>2019</v>
      </c>
      <c r="C240" s="1279">
        <v>106.7</v>
      </c>
      <c r="D240" s="1279">
        <v>284.5</v>
      </c>
      <c r="E240" s="1113">
        <f>IF($A240&lt;DATE(2018,7,1),"-",INDEX('I1 - Universal Data'!$E$16:$V$16, MATCH(YEAR(EOMONTH($A240,6)), 'I1 - Universal Data'!$E$14:$V$14, 0)))</f>
        <v>1.7910205867057716E-2</v>
      </c>
      <c r="F240" s="1113">
        <f>IF($A240&lt;DATE(2018,7,1),"-",INDEX('I1 - Universal Data'!$E$15:$V$15, MATCH(YEAR(EOMONTH($A240,6)), 'I1 - Universal Data'!$E$14:$V$14, 0)))</f>
        <v>2.5628884588821732E-2</v>
      </c>
      <c r="G240" s="1114">
        <f t="shared" si="22"/>
        <v>106.7</v>
      </c>
      <c r="H240" s="1114">
        <f t="shared" si="22"/>
        <v>284.5</v>
      </c>
      <c r="U240" s="1102"/>
    </row>
    <row r="241" spans="1:21">
      <c r="A241" s="1111">
        <f t="shared" si="20"/>
        <v>43434</v>
      </c>
      <c r="B241" s="1112">
        <f t="shared" si="18"/>
        <v>2019</v>
      </c>
      <c r="C241" s="1279">
        <v>106.9</v>
      </c>
      <c r="D241" s="1279">
        <v>284.60000000000002</v>
      </c>
      <c r="E241" s="1113">
        <f>IF($A241&lt;DATE(2018,7,1),"-",INDEX('I1 - Universal Data'!$E$16:$V$16, MATCH(YEAR(EOMONTH($A241,6)), 'I1 - Universal Data'!$E$14:$V$14, 0)))</f>
        <v>1.7910205867057716E-2</v>
      </c>
      <c r="F241" s="1113">
        <f>IF($A241&lt;DATE(2018,7,1),"-",INDEX('I1 - Universal Data'!$E$15:$V$15, MATCH(YEAR(EOMONTH($A241,6)), 'I1 - Universal Data'!$E$14:$V$14, 0)))</f>
        <v>2.5628884588821732E-2</v>
      </c>
      <c r="G241" s="1114">
        <f t="shared" si="22"/>
        <v>106.9</v>
      </c>
      <c r="H241" s="1114">
        <f t="shared" si="22"/>
        <v>284.60000000000002</v>
      </c>
      <c r="U241" s="1102"/>
    </row>
    <row r="242" spans="1:21">
      <c r="A242" s="1111">
        <f t="shared" si="20"/>
        <v>43465</v>
      </c>
      <c r="B242" s="1112">
        <f t="shared" si="18"/>
        <v>2019</v>
      </c>
      <c r="C242" s="1279">
        <v>107.1</v>
      </c>
      <c r="D242" s="1279">
        <v>285.60000000000002</v>
      </c>
      <c r="E242" s="1113">
        <f>IF($A242&lt;DATE(2018,7,1),"-",INDEX('I1 - Universal Data'!$E$16:$V$16, MATCH(YEAR(EOMONTH($A242,6)), 'I1 - Universal Data'!$E$14:$V$14, 0)))</f>
        <v>1.7910205867057716E-2</v>
      </c>
      <c r="F242" s="1113">
        <f>IF($A242&lt;DATE(2018,7,1),"-",INDEX('I1 - Universal Data'!$E$15:$V$15, MATCH(YEAR(EOMONTH($A242,6)), 'I1 - Universal Data'!$E$14:$V$14, 0)))</f>
        <v>2.5628884588821732E-2</v>
      </c>
      <c r="G242" s="1114">
        <f t="shared" si="22"/>
        <v>107.1</v>
      </c>
      <c r="H242" s="1114">
        <f t="shared" si="22"/>
        <v>285.60000000000002</v>
      </c>
      <c r="U242" s="1102"/>
    </row>
    <row r="243" spans="1:21">
      <c r="A243" s="1111">
        <f t="shared" si="20"/>
        <v>43496</v>
      </c>
      <c r="B243" s="1112">
        <f t="shared" si="18"/>
        <v>2019</v>
      </c>
      <c r="C243" s="1279">
        <v>106.4</v>
      </c>
      <c r="D243" s="1279">
        <v>283</v>
      </c>
      <c r="E243" s="1113">
        <f>IF($A243&lt;DATE(2018,7,1),"-",INDEX('I1 - Universal Data'!$E$16:$V$16, MATCH(YEAR(EOMONTH($A243,6)), 'I1 - Universal Data'!$E$14:$V$14, 0)))</f>
        <v>1.7910205867057716E-2</v>
      </c>
      <c r="F243" s="1113">
        <f>IF($A243&lt;DATE(2018,7,1),"-",INDEX('I1 - Universal Data'!$E$15:$V$15, MATCH(YEAR(EOMONTH($A243,6)), 'I1 - Universal Data'!$E$14:$V$14, 0)))</f>
        <v>2.5628884588821732E-2</v>
      </c>
      <c r="G243" s="1114">
        <f t="shared" si="22"/>
        <v>106.4</v>
      </c>
      <c r="H243" s="1114">
        <f t="shared" si="22"/>
        <v>283</v>
      </c>
      <c r="U243" s="1102"/>
    </row>
    <row r="244" spans="1:21">
      <c r="A244" s="1111">
        <f t="shared" si="20"/>
        <v>43524</v>
      </c>
      <c r="B244" s="1112">
        <f t="shared" si="18"/>
        <v>2019</v>
      </c>
      <c r="C244" s="1279">
        <v>106.8</v>
      </c>
      <c r="D244" s="1279">
        <v>285</v>
      </c>
      <c r="E244" s="1113">
        <f>IF($A244&lt;DATE(2018,7,1),"-",INDEX('I1 - Universal Data'!$E$16:$V$16, MATCH(YEAR(EOMONTH($A244,6)), 'I1 - Universal Data'!$E$14:$V$14, 0)))</f>
        <v>1.7910205867057716E-2</v>
      </c>
      <c r="F244" s="1113">
        <f>IF($A244&lt;DATE(2018,7,1),"-",INDEX('I1 - Universal Data'!$E$15:$V$15, MATCH(YEAR(EOMONTH($A244,6)), 'I1 - Universal Data'!$E$14:$V$14, 0)))</f>
        <v>2.5628884588821732E-2</v>
      </c>
      <c r="G244" s="1114">
        <f t="shared" si="22"/>
        <v>106.8</v>
      </c>
      <c r="H244" s="1114">
        <f t="shared" si="22"/>
        <v>285</v>
      </c>
      <c r="U244" s="1102"/>
    </row>
    <row r="245" spans="1:21">
      <c r="A245" s="1111">
        <f t="shared" si="20"/>
        <v>43555</v>
      </c>
      <c r="B245" s="1112">
        <f t="shared" si="18"/>
        <v>2019</v>
      </c>
      <c r="C245" s="1279">
        <v>107</v>
      </c>
      <c r="D245" s="1279">
        <v>285.10000000000002</v>
      </c>
      <c r="E245" s="1113">
        <f>IF($A245&lt;DATE(2018,7,1),"-",INDEX('I1 - Universal Data'!$E$16:$V$16, MATCH(YEAR(EOMONTH($A245,6)), 'I1 - Universal Data'!$E$14:$V$14, 0)))</f>
        <v>1.7910205867057716E-2</v>
      </c>
      <c r="F245" s="1113">
        <f>IF($A245&lt;DATE(2018,7,1),"-",INDEX('I1 - Universal Data'!$E$15:$V$15, MATCH(YEAR(EOMONTH($A245,6)), 'I1 - Universal Data'!$E$14:$V$14, 0)))</f>
        <v>2.5628884588821732E-2</v>
      </c>
      <c r="G245" s="1114">
        <f t="shared" si="22"/>
        <v>107</v>
      </c>
      <c r="H245" s="1114">
        <f t="shared" si="22"/>
        <v>285.10000000000002</v>
      </c>
      <c r="U245" s="1102"/>
    </row>
    <row r="246" spans="1:21">
      <c r="A246" s="1111">
        <f t="shared" si="20"/>
        <v>43585</v>
      </c>
      <c r="B246" s="1112">
        <f t="shared" si="18"/>
        <v>2020</v>
      </c>
      <c r="C246" s="1279">
        <v>107.6</v>
      </c>
      <c r="D246" s="1279">
        <v>288.2</v>
      </c>
      <c r="E246" s="1113">
        <f>IF($A246&lt;DATE(2018,7,1),"-",INDEX('I1 - Universal Data'!$E$16:$V$16, MATCH(YEAR(EOMONTH($A246,6)), 'I1 - Universal Data'!$E$14:$V$14, 0)))</f>
        <v>1.7910205867057716E-2</v>
      </c>
      <c r="F246" s="1113">
        <f>IF($A246&lt;DATE(2018,7,1),"-",INDEX('I1 - Universal Data'!$E$15:$V$15, MATCH(YEAR(EOMONTH($A246,6)), 'I1 - Universal Data'!$E$14:$V$14, 0)))</f>
        <v>2.5628884588821732E-2</v>
      </c>
      <c r="G246" s="1114">
        <f t="shared" ref="G246:H261" si="23">IF(ISBLANK(C246),G245*((1+E246)^(1/12)),C246)</f>
        <v>107.6</v>
      </c>
      <c r="H246" s="1114">
        <f t="shared" si="23"/>
        <v>288.2</v>
      </c>
      <c r="T246" s="1103"/>
      <c r="U246" s="1102"/>
    </row>
    <row r="247" spans="1:21">
      <c r="A247" s="1111">
        <f t="shared" si="20"/>
        <v>43616</v>
      </c>
      <c r="B247" s="1112">
        <f t="shared" si="18"/>
        <v>2020</v>
      </c>
      <c r="C247" s="1279">
        <v>107.9</v>
      </c>
      <c r="D247" s="1279">
        <v>289.2</v>
      </c>
      <c r="E247" s="1113">
        <f>IF($A247&lt;DATE(2018,7,1),"-",INDEX('I1 - Universal Data'!$E$16:$V$16, MATCH(YEAR(EOMONTH($A247,6)), 'I1 - Universal Data'!$E$14:$V$14, 0)))</f>
        <v>1.7910205867057716E-2</v>
      </c>
      <c r="F247" s="1113">
        <f>IF($A247&lt;DATE(2018,7,1),"-",INDEX('I1 - Universal Data'!$E$15:$V$15, MATCH(YEAR(EOMONTH($A247,6)), 'I1 - Universal Data'!$E$14:$V$14, 0)))</f>
        <v>2.5628884588821732E-2</v>
      </c>
      <c r="G247" s="1114">
        <f t="shared" si="23"/>
        <v>107.9</v>
      </c>
      <c r="H247" s="1114">
        <f t="shared" si="23"/>
        <v>289.2</v>
      </c>
      <c r="T247" s="1103"/>
      <c r="U247" s="1102"/>
    </row>
    <row r="248" spans="1:21">
      <c r="A248" s="1111">
        <f t="shared" si="20"/>
        <v>43646</v>
      </c>
      <c r="B248" s="1112">
        <f t="shared" si="18"/>
        <v>2020</v>
      </c>
      <c r="C248" s="1279">
        <v>107.9</v>
      </c>
      <c r="D248" s="1279">
        <v>289.60000000000002</v>
      </c>
      <c r="E248" s="1113">
        <f>IF($A248&lt;DATE(2018,7,1),"-",INDEX('I1 - Universal Data'!$E$16:$V$16, MATCH(YEAR(EOMONTH($A248,6)), 'I1 - Universal Data'!$E$14:$V$14, 0)))</f>
        <v>1.7910205867057716E-2</v>
      </c>
      <c r="F248" s="1113">
        <f>IF($A248&lt;DATE(2018,7,1),"-",INDEX('I1 - Universal Data'!$E$15:$V$15, MATCH(YEAR(EOMONTH($A248,6)), 'I1 - Universal Data'!$E$14:$V$14, 0)))</f>
        <v>2.5628884588821732E-2</v>
      </c>
      <c r="G248" s="1114">
        <f t="shared" si="23"/>
        <v>107.9</v>
      </c>
      <c r="H248" s="1114">
        <f t="shared" si="23"/>
        <v>289.60000000000002</v>
      </c>
      <c r="T248" s="1103"/>
      <c r="U248" s="1102"/>
    </row>
    <row r="249" spans="1:21">
      <c r="A249" s="1111">
        <f t="shared" si="20"/>
        <v>43677</v>
      </c>
      <c r="B249" s="1112">
        <f t="shared" si="18"/>
        <v>2020</v>
      </c>
      <c r="C249" s="1279">
        <v>108</v>
      </c>
      <c r="D249" s="1279">
        <v>289.5</v>
      </c>
      <c r="E249" s="1113">
        <f>IF($A249&lt;DATE(2018,7,1),"-",INDEX('I1 - Universal Data'!$E$16:$V$16, MATCH(YEAR(EOMONTH($A249,6)), 'I1 - Universal Data'!$E$14:$V$14, 0)))</f>
        <v>8.5065402820156955E-3</v>
      </c>
      <c r="F249" s="1113">
        <f>IF($A249&lt;DATE(2018,7,1),"-",INDEX('I1 - Universal Data'!$E$15:$V$15, MATCH(YEAR(EOMONTH($A249,6)), 'I1 - Universal Data'!$E$14:$V$14, 0)))</f>
        <v>1.5033471260387898E-2</v>
      </c>
      <c r="G249" s="1114">
        <f t="shared" si="23"/>
        <v>108</v>
      </c>
      <c r="H249" s="1114">
        <f t="shared" si="23"/>
        <v>289.5</v>
      </c>
      <c r="T249" s="1103"/>
      <c r="U249" s="1102"/>
    </row>
    <row r="250" spans="1:21">
      <c r="A250" s="1111">
        <f t="shared" si="20"/>
        <v>43708</v>
      </c>
      <c r="B250" s="1112">
        <f t="shared" si="18"/>
        <v>2020</v>
      </c>
      <c r="C250" s="1279">
        <v>108.3</v>
      </c>
      <c r="D250" s="1279">
        <v>291.7</v>
      </c>
      <c r="E250" s="1113">
        <f>IF($A250&lt;DATE(2018,7,1),"-",INDEX('I1 - Universal Data'!$E$16:$V$16, MATCH(YEAR(EOMONTH($A250,6)), 'I1 - Universal Data'!$E$14:$V$14, 0)))</f>
        <v>8.5065402820156955E-3</v>
      </c>
      <c r="F250" s="1113">
        <f>IF($A250&lt;DATE(2018,7,1),"-",INDEX('I1 - Universal Data'!$E$15:$V$15, MATCH(YEAR(EOMONTH($A250,6)), 'I1 - Universal Data'!$E$14:$V$14, 0)))</f>
        <v>1.5033471260387898E-2</v>
      </c>
      <c r="G250" s="1114">
        <f t="shared" si="23"/>
        <v>108.3</v>
      </c>
      <c r="H250" s="1114">
        <f t="shared" si="23"/>
        <v>291.7</v>
      </c>
      <c r="T250" s="1103"/>
      <c r="U250" s="1102"/>
    </row>
    <row r="251" spans="1:21">
      <c r="A251" s="1111">
        <f t="shared" si="20"/>
        <v>43738</v>
      </c>
      <c r="B251" s="1112">
        <f t="shared" si="18"/>
        <v>2020</v>
      </c>
      <c r="C251" s="1279">
        <v>108.4</v>
      </c>
      <c r="D251" s="1279">
        <v>291</v>
      </c>
      <c r="E251" s="1113">
        <f>IF($A251&lt;DATE(2018,7,1),"-",INDEX('I1 - Universal Data'!$E$16:$V$16, MATCH(YEAR(EOMONTH($A251,6)), 'I1 - Universal Data'!$E$14:$V$14, 0)))</f>
        <v>8.5065402820156955E-3</v>
      </c>
      <c r="F251" s="1113">
        <f>IF($A251&lt;DATE(2018,7,1),"-",INDEX('I1 - Universal Data'!$E$15:$V$15, MATCH(YEAR(EOMONTH($A251,6)), 'I1 - Universal Data'!$E$14:$V$14, 0)))</f>
        <v>1.5033471260387898E-2</v>
      </c>
      <c r="G251" s="1114">
        <f t="shared" si="23"/>
        <v>108.4</v>
      </c>
      <c r="H251" s="1114">
        <f t="shared" si="23"/>
        <v>291</v>
      </c>
      <c r="T251" s="1103"/>
      <c r="U251" s="1102"/>
    </row>
    <row r="252" spans="1:21">
      <c r="A252" s="1111">
        <f t="shared" si="20"/>
        <v>43769</v>
      </c>
      <c r="B252" s="1112">
        <f t="shared" si="18"/>
        <v>2020</v>
      </c>
      <c r="C252" s="1279">
        <v>108.3</v>
      </c>
      <c r="D252" s="1279">
        <v>290.39999999999998</v>
      </c>
      <c r="E252" s="1113">
        <f>IF($A252&lt;DATE(2018,7,1),"-",INDEX('I1 - Universal Data'!$E$16:$V$16, MATCH(YEAR(EOMONTH($A252,6)), 'I1 - Universal Data'!$E$14:$V$14, 0)))</f>
        <v>8.5065402820156955E-3</v>
      </c>
      <c r="F252" s="1113">
        <f>IF($A252&lt;DATE(2018,7,1),"-",INDEX('I1 - Universal Data'!$E$15:$V$15, MATCH(YEAR(EOMONTH($A252,6)), 'I1 - Universal Data'!$E$14:$V$14, 0)))</f>
        <v>1.5033471260387898E-2</v>
      </c>
      <c r="G252" s="1114">
        <f t="shared" si="23"/>
        <v>108.3</v>
      </c>
      <c r="H252" s="1114">
        <f t="shared" si="23"/>
        <v>290.39999999999998</v>
      </c>
      <c r="T252" s="1103"/>
      <c r="U252" s="1102"/>
    </row>
    <row r="253" spans="1:21">
      <c r="A253" s="1111">
        <f t="shared" si="20"/>
        <v>43799</v>
      </c>
      <c r="B253" s="1112">
        <f t="shared" si="18"/>
        <v>2020</v>
      </c>
      <c r="C253" s="1279">
        <v>108.5</v>
      </c>
      <c r="D253" s="1279">
        <v>291</v>
      </c>
      <c r="E253" s="1113">
        <f>IF($A253&lt;DATE(2018,7,1),"-",INDEX('I1 - Universal Data'!$E$16:$V$16, MATCH(YEAR(EOMONTH($A253,6)), 'I1 - Universal Data'!$E$14:$V$14, 0)))</f>
        <v>8.5065402820156955E-3</v>
      </c>
      <c r="F253" s="1113">
        <f>IF($A253&lt;DATE(2018,7,1),"-",INDEX('I1 - Universal Data'!$E$15:$V$15, MATCH(YEAR(EOMONTH($A253,6)), 'I1 - Universal Data'!$E$14:$V$14, 0)))</f>
        <v>1.5033471260387898E-2</v>
      </c>
      <c r="G253" s="1114">
        <f t="shared" si="23"/>
        <v>108.5</v>
      </c>
      <c r="H253" s="1114">
        <f t="shared" si="23"/>
        <v>291</v>
      </c>
      <c r="T253" s="1103"/>
      <c r="U253" s="1102"/>
    </row>
    <row r="254" spans="1:21">
      <c r="A254" s="1111">
        <f t="shared" si="20"/>
        <v>43830</v>
      </c>
      <c r="B254" s="1112">
        <f t="shared" si="18"/>
        <v>2020</v>
      </c>
      <c r="C254" s="1279">
        <v>108.5</v>
      </c>
      <c r="D254" s="1279">
        <v>291.89999999999998</v>
      </c>
      <c r="E254" s="1113">
        <f>IF($A254&lt;DATE(2018,7,1),"-",INDEX('I1 - Universal Data'!$E$16:$V$16, MATCH(YEAR(EOMONTH($A254,6)), 'I1 - Universal Data'!$E$14:$V$14, 0)))</f>
        <v>8.5065402820156955E-3</v>
      </c>
      <c r="F254" s="1113">
        <f>IF($A254&lt;DATE(2018,7,1),"-",INDEX('I1 - Universal Data'!$E$15:$V$15, MATCH(YEAR(EOMONTH($A254,6)), 'I1 - Universal Data'!$E$14:$V$14, 0)))</f>
        <v>1.5033471260387898E-2</v>
      </c>
      <c r="G254" s="1114">
        <f t="shared" si="23"/>
        <v>108.5</v>
      </c>
      <c r="H254" s="1114">
        <f t="shared" si="23"/>
        <v>291.89999999999998</v>
      </c>
      <c r="T254" s="1103"/>
      <c r="U254" s="1102"/>
    </row>
    <row r="255" spans="1:21">
      <c r="A255" s="1111">
        <f t="shared" si="20"/>
        <v>43861</v>
      </c>
      <c r="B255" s="1112">
        <f t="shared" si="18"/>
        <v>2020</v>
      </c>
      <c r="C255" s="1279">
        <v>108.3</v>
      </c>
      <c r="D255" s="1279">
        <v>290.60000000000002</v>
      </c>
      <c r="E255" s="1113">
        <f>IF($A255&lt;DATE(2018,7,1),"-",INDEX('I1 - Universal Data'!$E$16:$V$16, MATCH(YEAR(EOMONTH($A255,6)), 'I1 - Universal Data'!$E$14:$V$14, 0)))</f>
        <v>8.5065402820156955E-3</v>
      </c>
      <c r="F255" s="1113">
        <f>IF($A255&lt;DATE(2018,7,1),"-",INDEX('I1 - Universal Data'!$E$15:$V$15, MATCH(YEAR(EOMONTH($A255,6)), 'I1 - Universal Data'!$E$14:$V$14, 0)))</f>
        <v>1.5033471260387898E-2</v>
      </c>
      <c r="G255" s="1114">
        <f t="shared" si="23"/>
        <v>108.3</v>
      </c>
      <c r="H255" s="1114">
        <f t="shared" si="23"/>
        <v>290.60000000000002</v>
      </c>
      <c r="T255" s="1103"/>
      <c r="U255" s="1102"/>
    </row>
    <row r="256" spans="1:21">
      <c r="A256" s="1111">
        <f t="shared" si="20"/>
        <v>43890</v>
      </c>
      <c r="B256" s="1112">
        <f t="shared" si="18"/>
        <v>2020</v>
      </c>
      <c r="C256" s="1279">
        <v>108.6</v>
      </c>
      <c r="D256" s="1279">
        <v>292</v>
      </c>
      <c r="E256" s="1113">
        <f>IF($A256&lt;DATE(2018,7,1),"-",INDEX('I1 - Universal Data'!$E$16:$V$16, MATCH(YEAR(EOMONTH($A256,6)), 'I1 - Universal Data'!$E$14:$V$14, 0)))</f>
        <v>8.5065402820156955E-3</v>
      </c>
      <c r="F256" s="1113">
        <f>IF($A256&lt;DATE(2018,7,1),"-",INDEX('I1 - Universal Data'!$E$15:$V$15, MATCH(YEAR(EOMONTH($A256,6)), 'I1 - Universal Data'!$E$14:$V$14, 0)))</f>
        <v>1.5033471260387898E-2</v>
      </c>
      <c r="G256" s="1114">
        <f t="shared" si="23"/>
        <v>108.6</v>
      </c>
      <c r="H256" s="1114">
        <f t="shared" si="23"/>
        <v>292</v>
      </c>
      <c r="T256" s="1103"/>
      <c r="U256" s="114"/>
    </row>
    <row r="257" spans="1:21">
      <c r="A257" s="1111">
        <f t="shared" si="20"/>
        <v>43921</v>
      </c>
      <c r="B257" s="1112">
        <f t="shared" si="18"/>
        <v>2020</v>
      </c>
      <c r="C257" s="1279">
        <v>108.6</v>
      </c>
      <c r="D257" s="1279">
        <v>292.60000000000002</v>
      </c>
      <c r="E257" s="1113">
        <f>IF($A257&lt;DATE(2018,7,1),"-",INDEX('I1 - Universal Data'!$E$16:$V$16, MATCH(YEAR(EOMONTH($A257,6)), 'I1 - Universal Data'!$E$14:$V$14, 0)))</f>
        <v>8.5065402820156955E-3</v>
      </c>
      <c r="F257" s="1113">
        <f>IF($A257&lt;DATE(2018,7,1),"-",INDEX('I1 - Universal Data'!$E$15:$V$15, MATCH(YEAR(EOMONTH($A257,6)), 'I1 - Universal Data'!$E$14:$V$14, 0)))</f>
        <v>1.5033471260387898E-2</v>
      </c>
      <c r="G257" s="1114">
        <f t="shared" si="23"/>
        <v>108.6</v>
      </c>
      <c r="H257" s="1114">
        <f t="shared" si="23"/>
        <v>292.60000000000002</v>
      </c>
      <c r="T257" s="1103"/>
      <c r="U257" s="114"/>
    </row>
    <row r="258" spans="1:21">
      <c r="A258" s="1111">
        <f t="shared" si="20"/>
        <v>43951</v>
      </c>
      <c r="B258" s="1112">
        <f t="shared" si="18"/>
        <v>2021</v>
      </c>
      <c r="C258" s="1279">
        <v>108.6</v>
      </c>
      <c r="D258" s="1279">
        <v>292.60000000000002</v>
      </c>
      <c r="E258" s="1113">
        <f>IF($A258&lt;DATE(2018,7,1),"-",INDEX('I1 - Universal Data'!$E$16:$V$16, MATCH(YEAR(EOMONTH($A258,6)), 'I1 - Universal Data'!$E$14:$V$14, 0)))</f>
        <v>8.5065402820156955E-3</v>
      </c>
      <c r="F258" s="1113">
        <f>IF($A258&lt;DATE(2018,7,1),"-",INDEX('I1 - Universal Data'!$E$15:$V$15, MATCH(YEAR(EOMONTH($A258,6)), 'I1 - Universal Data'!$E$14:$V$14, 0)))</f>
        <v>1.5033471260387898E-2</v>
      </c>
      <c r="G258" s="1114">
        <f t="shared" si="23"/>
        <v>108.6</v>
      </c>
      <c r="H258" s="1114">
        <f t="shared" si="23"/>
        <v>292.60000000000002</v>
      </c>
      <c r="T258" s="1103"/>
      <c r="U258" s="114"/>
    </row>
    <row r="259" spans="1:21">
      <c r="A259" s="1111">
        <f t="shared" si="20"/>
        <v>43982</v>
      </c>
      <c r="B259" s="1112">
        <f t="shared" si="18"/>
        <v>2021</v>
      </c>
      <c r="C259" s="1279">
        <v>108.6</v>
      </c>
      <c r="D259" s="1279">
        <v>292.2</v>
      </c>
      <c r="E259" s="1113">
        <f>IF($A259&lt;DATE(2018,7,1),"-",INDEX('I1 - Universal Data'!$E$16:$V$16, MATCH(YEAR(EOMONTH($A259,6)), 'I1 - Universal Data'!$E$14:$V$14, 0)))</f>
        <v>8.5065402820156955E-3</v>
      </c>
      <c r="F259" s="1113">
        <f>IF($A259&lt;DATE(2018,7,1),"-",INDEX('I1 - Universal Data'!$E$15:$V$15, MATCH(YEAR(EOMONTH($A259,6)), 'I1 - Universal Data'!$E$14:$V$14, 0)))</f>
        <v>1.5033471260387898E-2</v>
      </c>
      <c r="G259" s="1114">
        <f t="shared" si="23"/>
        <v>108.6</v>
      </c>
      <c r="H259" s="1114">
        <f t="shared" si="23"/>
        <v>292.2</v>
      </c>
      <c r="T259" s="1103"/>
      <c r="U259" s="114"/>
    </row>
    <row r="260" spans="1:21">
      <c r="A260" s="1111">
        <f t="shared" si="20"/>
        <v>44012</v>
      </c>
      <c r="B260" s="1112">
        <f t="shared" si="18"/>
        <v>2021</v>
      </c>
      <c r="C260" s="1279">
        <v>108.8</v>
      </c>
      <c r="D260" s="1279">
        <v>292.7</v>
      </c>
      <c r="E260" s="1113">
        <f>IF($A260&lt;DATE(2018,7,1),"-",INDEX('I1 - Universal Data'!$E$16:$V$16, MATCH(YEAR(EOMONTH($A260,6)), 'I1 - Universal Data'!$E$14:$V$14, 0)))</f>
        <v>8.5065402820156955E-3</v>
      </c>
      <c r="F260" s="1113">
        <f>IF($A260&lt;DATE(2018,7,1),"-",INDEX('I1 - Universal Data'!$E$15:$V$15, MATCH(YEAR(EOMONTH($A260,6)), 'I1 - Universal Data'!$E$14:$V$14, 0)))</f>
        <v>1.5033471260387898E-2</v>
      </c>
      <c r="G260" s="1114">
        <f t="shared" si="23"/>
        <v>108.8</v>
      </c>
      <c r="H260" s="1114">
        <f t="shared" si="23"/>
        <v>292.7</v>
      </c>
      <c r="T260" s="1103"/>
      <c r="U260" s="114"/>
    </row>
    <row r="261" spans="1:21">
      <c r="A261" s="1111">
        <f t="shared" si="20"/>
        <v>44043</v>
      </c>
      <c r="B261" s="1112">
        <f t="shared" si="18"/>
        <v>2021</v>
      </c>
      <c r="C261" s="1279">
        <v>109.2</v>
      </c>
      <c r="D261" s="1279">
        <v>294.2</v>
      </c>
      <c r="E261" s="1113">
        <f>IF($A261&lt;DATE(2018,7,1),"-",INDEX('I1 - Universal Data'!$E$16:$V$16, MATCH(YEAR(EOMONTH($A261,6)), 'I1 - Universal Data'!$E$14:$V$14, 0)))</f>
        <v>2.5882219500718229E-2</v>
      </c>
      <c r="F261" s="1113">
        <f>IF($A261&lt;DATE(2018,7,1),"-",INDEX('I1 - Universal Data'!$E$15:$V$15, MATCH(YEAR(EOMONTH($A261,6)), 'I1 - Universal Data'!$E$14:$V$14, 0)))</f>
        <v>4.0452569031158125E-2</v>
      </c>
      <c r="G261" s="1114">
        <f t="shared" si="23"/>
        <v>109.2</v>
      </c>
      <c r="H261" s="1114">
        <f t="shared" si="23"/>
        <v>294.2</v>
      </c>
      <c r="T261" s="1103"/>
      <c r="U261" s="114"/>
    </row>
    <row r="262" spans="1:21">
      <c r="A262" s="1111">
        <f t="shared" si="20"/>
        <v>44074</v>
      </c>
      <c r="B262" s="1112">
        <f t="shared" ref="B262:B325" si="24">IF(MONTH(A262)&gt;=4,YEAR(A262)+1,YEAR(A262))</f>
        <v>2021</v>
      </c>
      <c r="C262" s="1279">
        <v>108.8</v>
      </c>
      <c r="D262" s="1279">
        <v>293.3</v>
      </c>
      <c r="E262" s="1113">
        <f>IF($A262&lt;DATE(2018,7,1),"-",INDEX('I1 - Universal Data'!$E$16:$V$16, MATCH(YEAR(EOMONTH($A262,6)), 'I1 - Universal Data'!$E$14:$V$14, 0)))</f>
        <v>2.5882219500718229E-2</v>
      </c>
      <c r="F262" s="1113">
        <f>IF($A262&lt;DATE(2018,7,1),"-",INDEX('I1 - Universal Data'!$E$15:$V$15, MATCH(YEAR(EOMONTH($A262,6)), 'I1 - Universal Data'!$E$14:$V$14, 0)))</f>
        <v>4.0452569031158125E-2</v>
      </c>
      <c r="G262" s="1114">
        <f t="shared" ref="G262:H277" si="25">IF(ISBLANK(C262),G261*((1+E262)^(1/12)),C262)</f>
        <v>108.8</v>
      </c>
      <c r="H262" s="1114">
        <f t="shared" si="25"/>
        <v>293.3</v>
      </c>
      <c r="T262" s="1103"/>
      <c r="U262" s="114"/>
    </row>
    <row r="263" spans="1:21">
      <c r="A263" s="1111">
        <f t="shared" ref="A263:A326" si="26">IF(MONTH(A262) = 12, EOMONTH(DATE(YEAR(A262) + 1, 1, 1), 0), EOMONTH(DATE(YEAR(A262), MONTH(A262) + 1, 1), 0))</f>
        <v>44104</v>
      </c>
      <c r="B263" s="1112">
        <f t="shared" si="24"/>
        <v>2021</v>
      </c>
      <c r="C263" s="1279">
        <v>109.2</v>
      </c>
      <c r="D263" s="1279">
        <v>294.3</v>
      </c>
      <c r="E263" s="1113">
        <f>IF($A263&lt;DATE(2018,7,1),"-",INDEX('I1 - Universal Data'!$E$16:$V$16, MATCH(YEAR(EOMONTH($A263,6)), 'I1 - Universal Data'!$E$14:$V$14, 0)))</f>
        <v>2.5882219500718229E-2</v>
      </c>
      <c r="F263" s="1113">
        <f>IF($A263&lt;DATE(2018,7,1),"-",INDEX('I1 - Universal Data'!$E$15:$V$15, MATCH(YEAR(EOMONTH($A263,6)), 'I1 - Universal Data'!$E$14:$V$14, 0)))</f>
        <v>4.0452569031158125E-2</v>
      </c>
      <c r="G263" s="1114">
        <f t="shared" si="25"/>
        <v>109.2</v>
      </c>
      <c r="H263" s="1114">
        <f t="shared" si="25"/>
        <v>294.3</v>
      </c>
      <c r="T263" s="1103"/>
      <c r="U263" s="114"/>
    </row>
    <row r="264" spans="1:21">
      <c r="A264" s="1111">
        <f t="shared" si="26"/>
        <v>44135</v>
      </c>
      <c r="B264" s="1112">
        <f t="shared" si="24"/>
        <v>2021</v>
      </c>
      <c r="C264" s="1279">
        <v>109.2</v>
      </c>
      <c r="D264" s="1279">
        <v>294.3</v>
      </c>
      <c r="E264" s="1113">
        <f>IF($A264&lt;DATE(2018,7,1),"-",INDEX('I1 - Universal Data'!$E$16:$V$16, MATCH(YEAR(EOMONTH($A264,6)), 'I1 - Universal Data'!$E$14:$V$14, 0)))</f>
        <v>2.5882219500718229E-2</v>
      </c>
      <c r="F264" s="1113">
        <f>IF($A264&lt;DATE(2018,7,1),"-",INDEX('I1 - Universal Data'!$E$15:$V$15, MATCH(YEAR(EOMONTH($A264,6)), 'I1 - Universal Data'!$E$14:$V$14, 0)))</f>
        <v>4.0452569031158125E-2</v>
      </c>
      <c r="G264" s="1114">
        <f t="shared" si="25"/>
        <v>109.2</v>
      </c>
      <c r="H264" s="1114">
        <f t="shared" si="25"/>
        <v>294.3</v>
      </c>
      <c r="T264" s="1103"/>
      <c r="U264" s="114"/>
    </row>
    <row r="265" spans="1:21">
      <c r="A265" s="1111">
        <f t="shared" si="26"/>
        <v>44165</v>
      </c>
      <c r="B265" s="1112">
        <f t="shared" si="24"/>
        <v>2021</v>
      </c>
      <c r="C265" s="1279">
        <v>109.1</v>
      </c>
      <c r="D265" s="1279">
        <v>293.5</v>
      </c>
      <c r="E265" s="1113">
        <f>IF($A265&lt;DATE(2018,7,1),"-",INDEX('I1 - Universal Data'!$E$16:$V$16, MATCH(YEAR(EOMONTH($A265,6)), 'I1 - Universal Data'!$E$14:$V$14, 0)))</f>
        <v>2.5882219500718229E-2</v>
      </c>
      <c r="F265" s="1113">
        <f>IF($A265&lt;DATE(2018,7,1),"-",INDEX('I1 - Universal Data'!$E$15:$V$15, MATCH(YEAR(EOMONTH($A265,6)), 'I1 - Universal Data'!$E$14:$V$14, 0)))</f>
        <v>4.0452569031158125E-2</v>
      </c>
      <c r="G265" s="1114">
        <f t="shared" si="25"/>
        <v>109.1</v>
      </c>
      <c r="H265" s="1114">
        <f t="shared" si="25"/>
        <v>293.5</v>
      </c>
      <c r="T265" s="1103"/>
      <c r="U265" s="1104"/>
    </row>
    <row r="266" spans="1:21">
      <c r="A266" s="1111">
        <f t="shared" si="26"/>
        <v>44196</v>
      </c>
      <c r="B266" s="1112">
        <f t="shared" si="24"/>
        <v>2021</v>
      </c>
      <c r="C266" s="1279">
        <v>109.4</v>
      </c>
      <c r="D266" s="1279">
        <v>295.39999999999998</v>
      </c>
      <c r="E266" s="1113">
        <f>IF($A266&lt;DATE(2018,7,1),"-",INDEX('I1 - Universal Data'!$E$16:$V$16, MATCH(YEAR(EOMONTH($A266,6)), 'I1 - Universal Data'!$E$14:$V$14, 0)))</f>
        <v>2.5882219500718229E-2</v>
      </c>
      <c r="F266" s="1113">
        <f>IF($A266&lt;DATE(2018,7,1),"-",INDEX('I1 - Universal Data'!$E$15:$V$15, MATCH(YEAR(EOMONTH($A266,6)), 'I1 - Universal Data'!$E$14:$V$14, 0)))</f>
        <v>4.0452569031158125E-2</v>
      </c>
      <c r="G266" s="1114">
        <f t="shared" si="25"/>
        <v>109.4</v>
      </c>
      <c r="H266" s="1114">
        <f t="shared" si="25"/>
        <v>295.39999999999998</v>
      </c>
      <c r="T266" s="1103"/>
      <c r="U266" s="114"/>
    </row>
    <row r="267" spans="1:21">
      <c r="A267" s="1111">
        <f t="shared" si="26"/>
        <v>44227</v>
      </c>
      <c r="B267" s="1112">
        <f t="shared" si="24"/>
        <v>2021</v>
      </c>
      <c r="C267" s="1279">
        <v>109.3</v>
      </c>
      <c r="D267" s="1279">
        <v>294.60000000000002</v>
      </c>
      <c r="E267" s="1113">
        <f>IF($A267&lt;DATE(2018,7,1),"-",INDEX('I1 - Universal Data'!$E$16:$V$16, MATCH(YEAR(EOMONTH($A267,6)), 'I1 - Universal Data'!$E$14:$V$14, 0)))</f>
        <v>2.5882219500718229E-2</v>
      </c>
      <c r="F267" s="1113">
        <f>IF($A267&lt;DATE(2018,7,1),"-",INDEX('I1 - Universal Data'!$E$15:$V$15, MATCH(YEAR(EOMONTH($A267,6)), 'I1 - Universal Data'!$E$14:$V$14, 0)))</f>
        <v>4.0452569031158125E-2</v>
      </c>
      <c r="G267" s="1114">
        <f t="shared" si="25"/>
        <v>109.3</v>
      </c>
      <c r="H267" s="1114">
        <f t="shared" si="25"/>
        <v>294.60000000000002</v>
      </c>
      <c r="T267" s="1103"/>
      <c r="U267" s="114"/>
    </row>
    <row r="268" spans="1:21">
      <c r="A268" s="1111">
        <f t="shared" si="26"/>
        <v>44255</v>
      </c>
      <c r="B268" s="1112">
        <f t="shared" si="24"/>
        <v>2021</v>
      </c>
      <c r="C268" s="1279">
        <v>109.4</v>
      </c>
      <c r="D268" s="1279">
        <v>296</v>
      </c>
      <c r="E268" s="1113">
        <f>IF($A268&lt;DATE(2018,7,1),"-",INDEX('I1 - Universal Data'!$E$16:$V$16, MATCH(YEAR(EOMONTH($A268,6)), 'I1 - Universal Data'!$E$14:$V$14, 0)))</f>
        <v>2.5882219500718229E-2</v>
      </c>
      <c r="F268" s="1113">
        <f>IF($A268&lt;DATE(2018,7,1),"-",INDEX('I1 - Universal Data'!$E$15:$V$15, MATCH(YEAR(EOMONTH($A268,6)), 'I1 - Universal Data'!$E$14:$V$14, 0)))</f>
        <v>4.0452569031158125E-2</v>
      </c>
      <c r="G268" s="1114">
        <f t="shared" si="25"/>
        <v>109.4</v>
      </c>
      <c r="H268" s="1114">
        <f t="shared" si="25"/>
        <v>296</v>
      </c>
      <c r="I268" s="1105"/>
      <c r="T268" s="1103"/>
      <c r="U268" s="114"/>
    </row>
    <row r="269" spans="1:21">
      <c r="A269" s="1111">
        <f t="shared" si="26"/>
        <v>44286</v>
      </c>
      <c r="B269" s="1112">
        <f t="shared" si="24"/>
        <v>2021</v>
      </c>
      <c r="C269" s="1279">
        <v>109.7</v>
      </c>
      <c r="D269" s="1279">
        <v>296.89999999999998</v>
      </c>
      <c r="E269" s="1113">
        <f>IF($A269&lt;DATE(2018,7,1),"-",INDEX('I1 - Universal Data'!$E$16:$V$16, MATCH(YEAR(EOMONTH($A269,6)), 'I1 - Universal Data'!$E$14:$V$14, 0)))</f>
        <v>2.5882219500718229E-2</v>
      </c>
      <c r="F269" s="1113">
        <f>IF($A269&lt;DATE(2018,7,1),"-",INDEX('I1 - Universal Data'!$E$15:$V$15, MATCH(YEAR(EOMONTH($A269,6)), 'I1 - Universal Data'!$E$14:$V$14, 0)))</f>
        <v>4.0452569031158125E-2</v>
      </c>
      <c r="G269" s="1114">
        <f t="shared" si="25"/>
        <v>109.7</v>
      </c>
      <c r="H269" s="1114">
        <f t="shared" si="25"/>
        <v>296.89999999999998</v>
      </c>
      <c r="I269" s="1105"/>
      <c r="T269" s="1103"/>
      <c r="U269" s="114"/>
    </row>
    <row r="270" spans="1:21">
      <c r="A270" s="1111">
        <f t="shared" si="26"/>
        <v>44316</v>
      </c>
      <c r="B270" s="1112">
        <f t="shared" si="24"/>
        <v>2022</v>
      </c>
      <c r="C270" s="1279">
        <v>110.4</v>
      </c>
      <c r="D270" s="1279">
        <v>301.10000000000002</v>
      </c>
      <c r="E270" s="1113">
        <f>IF($A270&lt;DATE(2018,7,1),"-",INDEX('I1 - Universal Data'!$E$16:$V$16, MATCH(YEAR(EOMONTH($A270,6)), 'I1 - Universal Data'!$E$14:$V$14, 0)))</f>
        <v>2.5882219500718229E-2</v>
      </c>
      <c r="F270" s="1113">
        <f>IF($A270&lt;DATE(2018,7,1),"-",INDEX('I1 - Universal Data'!$E$15:$V$15, MATCH(YEAR(EOMONTH($A270,6)), 'I1 - Universal Data'!$E$14:$V$14, 0)))</f>
        <v>4.0452569031158125E-2</v>
      </c>
      <c r="G270" s="1114">
        <f t="shared" si="25"/>
        <v>110.4</v>
      </c>
      <c r="H270" s="1114">
        <f t="shared" si="25"/>
        <v>301.10000000000002</v>
      </c>
      <c r="I270" s="1105"/>
      <c r="T270" s="1103"/>
      <c r="U270" s="1104"/>
    </row>
    <row r="271" spans="1:21">
      <c r="A271" s="1111">
        <f t="shared" si="26"/>
        <v>44347</v>
      </c>
      <c r="B271" s="1112">
        <f t="shared" si="24"/>
        <v>2022</v>
      </c>
      <c r="C271" s="1279">
        <v>111</v>
      </c>
      <c r="D271" s="1279">
        <v>301.89999999999998</v>
      </c>
      <c r="E271" s="1113">
        <f>IF($A271&lt;DATE(2018,7,1),"-",INDEX('I1 - Universal Data'!$E$16:$V$16, MATCH(YEAR(EOMONTH($A271,6)), 'I1 - Universal Data'!$E$14:$V$14, 0)))</f>
        <v>2.5882219500718229E-2</v>
      </c>
      <c r="F271" s="1113">
        <f>IF($A271&lt;DATE(2018,7,1),"-",INDEX('I1 - Universal Data'!$E$15:$V$15, MATCH(YEAR(EOMONTH($A271,6)), 'I1 - Universal Data'!$E$14:$V$14, 0)))</f>
        <v>4.0452569031158125E-2</v>
      </c>
      <c r="G271" s="1114">
        <f t="shared" si="25"/>
        <v>111</v>
      </c>
      <c r="H271" s="1114">
        <f t="shared" si="25"/>
        <v>301.89999999999998</v>
      </c>
      <c r="I271" s="1105"/>
      <c r="T271" s="1103"/>
      <c r="U271" s="1104"/>
    </row>
    <row r="272" spans="1:21">
      <c r="A272" s="1111">
        <f t="shared" si="26"/>
        <v>44377</v>
      </c>
      <c r="B272" s="1112">
        <f t="shared" si="24"/>
        <v>2022</v>
      </c>
      <c r="C272" s="1279">
        <v>111.4</v>
      </c>
      <c r="D272" s="1279">
        <v>304</v>
      </c>
      <c r="E272" s="1113">
        <f>IF($A272&lt;DATE(2018,7,1),"-",INDEX('I1 - Universal Data'!$E$16:$V$16, MATCH(YEAR(EOMONTH($A272,6)), 'I1 - Universal Data'!$E$14:$V$14, 0)))</f>
        <v>2.5882219500718229E-2</v>
      </c>
      <c r="F272" s="1113">
        <f>IF($A272&lt;DATE(2018,7,1),"-",INDEX('I1 - Universal Data'!$E$15:$V$15, MATCH(YEAR(EOMONTH($A272,6)), 'I1 - Universal Data'!$E$14:$V$14, 0)))</f>
        <v>4.0452569031158125E-2</v>
      </c>
      <c r="G272" s="1114">
        <f t="shared" si="25"/>
        <v>111.4</v>
      </c>
      <c r="H272" s="1114">
        <f t="shared" si="25"/>
        <v>304</v>
      </c>
      <c r="I272" s="1105"/>
      <c r="U272" s="1104"/>
    </row>
    <row r="273" spans="1:21">
      <c r="A273" s="1111">
        <f t="shared" si="26"/>
        <v>44408</v>
      </c>
      <c r="B273" s="1112">
        <f t="shared" si="24"/>
        <v>2022</v>
      </c>
      <c r="C273" s="1279">
        <v>111.4</v>
      </c>
      <c r="D273" s="1279">
        <v>305.5</v>
      </c>
      <c r="E273" s="1113">
        <f>IF($A273&lt;DATE(2018,7,1),"-",INDEX('I1 - Universal Data'!$E$16:$V$16, MATCH(YEAR(EOMONTH($A273,6)), 'I1 - Universal Data'!$E$14:$V$14, 0)))</f>
        <v>9.0667455547039033E-2</v>
      </c>
      <c r="F273" s="1113">
        <f>IF($A273&lt;DATE(2018,7,1),"-",INDEX('I1 - Universal Data'!$E$15:$V$15, MATCH(YEAR(EOMONTH($A273,6)), 'I1 - Universal Data'!$E$14:$V$14, 0)))</f>
        <v>0.11584699426229506</v>
      </c>
      <c r="G273" s="1114">
        <f t="shared" si="25"/>
        <v>111.4</v>
      </c>
      <c r="H273" s="1114">
        <f t="shared" si="25"/>
        <v>305.5</v>
      </c>
      <c r="I273" s="1105"/>
      <c r="U273" s="1104"/>
    </row>
    <row r="274" spans="1:21">
      <c r="A274" s="1111">
        <f t="shared" si="26"/>
        <v>44439</v>
      </c>
      <c r="B274" s="1112">
        <f t="shared" si="24"/>
        <v>2022</v>
      </c>
      <c r="C274" s="1279">
        <v>112.1</v>
      </c>
      <c r="D274" s="1279">
        <v>307.39999999999998</v>
      </c>
      <c r="E274" s="1113">
        <f>IF($A274&lt;DATE(2018,7,1),"-",INDEX('I1 - Universal Data'!$E$16:$V$16, MATCH(YEAR(EOMONTH($A274,6)), 'I1 - Universal Data'!$E$14:$V$14, 0)))</f>
        <v>9.0667455547039033E-2</v>
      </c>
      <c r="F274" s="1113">
        <f>IF($A274&lt;DATE(2018,7,1),"-",INDEX('I1 - Universal Data'!$E$15:$V$15, MATCH(YEAR(EOMONTH($A274,6)), 'I1 - Universal Data'!$E$14:$V$14, 0)))</f>
        <v>0.11584699426229506</v>
      </c>
      <c r="G274" s="1114">
        <f t="shared" si="25"/>
        <v>112.1</v>
      </c>
      <c r="H274" s="1114">
        <f t="shared" si="25"/>
        <v>307.39999999999998</v>
      </c>
      <c r="I274" s="1105"/>
      <c r="U274" s="1104"/>
    </row>
    <row r="275" spans="1:21">
      <c r="A275" s="1111">
        <f t="shared" si="26"/>
        <v>44469</v>
      </c>
      <c r="B275" s="1112">
        <f t="shared" si="24"/>
        <v>2022</v>
      </c>
      <c r="C275" s="1279">
        <v>112.4</v>
      </c>
      <c r="D275" s="1279">
        <v>308.60000000000002</v>
      </c>
      <c r="E275" s="1113">
        <f>IF($A275&lt;DATE(2018,7,1),"-",INDEX('I1 - Universal Data'!$E$16:$V$16, MATCH(YEAR(EOMONTH($A275,6)), 'I1 - Universal Data'!$E$14:$V$14, 0)))</f>
        <v>9.0667455547039033E-2</v>
      </c>
      <c r="F275" s="1113">
        <f>IF($A275&lt;DATE(2018,7,1),"-",INDEX('I1 - Universal Data'!$E$15:$V$15, MATCH(YEAR(EOMONTH($A275,6)), 'I1 - Universal Data'!$E$14:$V$14, 0)))</f>
        <v>0.11584699426229506</v>
      </c>
      <c r="G275" s="1114">
        <f t="shared" si="25"/>
        <v>112.4</v>
      </c>
      <c r="H275" s="1114">
        <f t="shared" si="25"/>
        <v>308.60000000000002</v>
      </c>
      <c r="I275" s="1105"/>
      <c r="U275" s="1104"/>
    </row>
    <row r="276" spans="1:21">
      <c r="A276" s="1111">
        <f t="shared" si="26"/>
        <v>44500</v>
      </c>
      <c r="B276" s="1112">
        <f t="shared" si="24"/>
        <v>2022</v>
      </c>
      <c r="C276" s="1279">
        <v>113.4</v>
      </c>
      <c r="D276" s="1279">
        <v>312</v>
      </c>
      <c r="E276" s="1113">
        <f>IF($A276&lt;DATE(2018,7,1),"-",INDEX('I1 - Universal Data'!$E$16:$V$16, MATCH(YEAR(EOMONTH($A276,6)), 'I1 - Universal Data'!$E$14:$V$14, 0)))</f>
        <v>9.0667455547039033E-2</v>
      </c>
      <c r="F276" s="1113">
        <f>IF($A276&lt;DATE(2018,7,1),"-",INDEX('I1 - Universal Data'!$E$15:$V$15, MATCH(YEAR(EOMONTH($A276,6)), 'I1 - Universal Data'!$E$14:$V$14, 0)))</f>
        <v>0.11584699426229506</v>
      </c>
      <c r="G276" s="1114">
        <f t="shared" si="25"/>
        <v>113.4</v>
      </c>
      <c r="H276" s="1114">
        <f t="shared" si="25"/>
        <v>312</v>
      </c>
      <c r="I276" s="1105"/>
      <c r="U276" s="1104"/>
    </row>
    <row r="277" spans="1:21">
      <c r="A277" s="1111">
        <f t="shared" si="26"/>
        <v>44530</v>
      </c>
      <c r="B277" s="1112">
        <f t="shared" si="24"/>
        <v>2022</v>
      </c>
      <c r="C277" s="1279">
        <v>114.1</v>
      </c>
      <c r="D277" s="1279">
        <v>314.3</v>
      </c>
      <c r="E277" s="1113">
        <f>IF($A277&lt;DATE(2018,7,1),"-",INDEX('I1 - Universal Data'!$E$16:$V$16, MATCH(YEAR(EOMONTH($A277,6)), 'I1 - Universal Data'!$E$14:$V$14, 0)))</f>
        <v>9.0667455547039033E-2</v>
      </c>
      <c r="F277" s="1113">
        <f>IF($A277&lt;DATE(2018,7,1),"-",INDEX('I1 - Universal Data'!$E$15:$V$15, MATCH(YEAR(EOMONTH($A277,6)), 'I1 - Universal Data'!$E$14:$V$14, 0)))</f>
        <v>0.11584699426229506</v>
      </c>
      <c r="G277" s="1114">
        <f t="shared" si="25"/>
        <v>114.1</v>
      </c>
      <c r="H277" s="1114">
        <f t="shared" si="25"/>
        <v>314.3</v>
      </c>
      <c r="I277" s="1105"/>
      <c r="U277" s="1104"/>
    </row>
    <row r="278" spans="1:21">
      <c r="A278" s="1111">
        <f t="shared" si="26"/>
        <v>44561</v>
      </c>
      <c r="B278" s="1112">
        <f t="shared" si="24"/>
        <v>2022</v>
      </c>
      <c r="C278" s="1279">
        <v>114.7</v>
      </c>
      <c r="D278" s="1279">
        <v>317.7</v>
      </c>
      <c r="E278" s="1113">
        <f>IF($A278&lt;DATE(2018,7,1),"-",INDEX('I1 - Universal Data'!$E$16:$V$16, MATCH(YEAR(EOMONTH($A278,6)), 'I1 - Universal Data'!$E$14:$V$14, 0)))</f>
        <v>9.0667455547039033E-2</v>
      </c>
      <c r="F278" s="1113">
        <f>IF($A278&lt;DATE(2018,7,1),"-",INDEX('I1 - Universal Data'!$E$15:$V$15, MATCH(YEAR(EOMONTH($A278,6)), 'I1 - Universal Data'!$E$14:$V$14, 0)))</f>
        <v>0.11584699426229506</v>
      </c>
      <c r="G278" s="1114">
        <f t="shared" ref="G278:H293" si="27">IF(ISBLANK(C278),G277*((1+E278)^(1/12)),C278)</f>
        <v>114.7</v>
      </c>
      <c r="H278" s="1114">
        <f t="shared" si="27"/>
        <v>317.7</v>
      </c>
      <c r="I278" s="1105"/>
      <c r="U278" s="1104"/>
    </row>
    <row r="279" spans="1:21">
      <c r="A279" s="1111">
        <f t="shared" si="26"/>
        <v>44592</v>
      </c>
      <c r="B279" s="1112">
        <f t="shared" si="24"/>
        <v>2022</v>
      </c>
      <c r="C279" s="1279">
        <v>114.6</v>
      </c>
      <c r="D279" s="1279">
        <v>317.7</v>
      </c>
      <c r="E279" s="1113">
        <f>IF($A279&lt;DATE(2018,7,1),"-",INDEX('I1 - Universal Data'!$E$16:$V$16, MATCH(YEAR(EOMONTH($A279,6)), 'I1 - Universal Data'!$E$14:$V$14, 0)))</f>
        <v>9.0667455547039033E-2</v>
      </c>
      <c r="F279" s="1113">
        <f>IF($A279&lt;DATE(2018,7,1),"-",INDEX('I1 - Universal Data'!$E$15:$V$15, MATCH(YEAR(EOMONTH($A279,6)), 'I1 - Universal Data'!$E$14:$V$14, 0)))</f>
        <v>0.11584699426229506</v>
      </c>
      <c r="G279" s="1114">
        <f t="shared" si="27"/>
        <v>114.6</v>
      </c>
      <c r="H279" s="1114">
        <f t="shared" si="27"/>
        <v>317.7</v>
      </c>
      <c r="I279" s="1105"/>
      <c r="U279" s="1104"/>
    </row>
    <row r="280" spans="1:21">
      <c r="A280" s="1111">
        <f t="shared" si="26"/>
        <v>44620</v>
      </c>
      <c r="B280" s="1112">
        <f t="shared" si="24"/>
        <v>2022</v>
      </c>
      <c r="C280" s="1279">
        <v>115.4</v>
      </c>
      <c r="D280" s="1279">
        <v>320.2</v>
      </c>
      <c r="E280" s="1113">
        <f>IF($A280&lt;DATE(2018,7,1),"-",INDEX('I1 - Universal Data'!$E$16:$V$16, MATCH(YEAR(EOMONTH($A280,6)), 'I1 - Universal Data'!$E$14:$V$14, 0)))</f>
        <v>9.0667455547039033E-2</v>
      </c>
      <c r="F280" s="1113">
        <f>IF($A280&lt;DATE(2018,7,1),"-",INDEX('I1 - Universal Data'!$E$15:$V$15, MATCH(YEAR(EOMONTH($A280,6)), 'I1 - Universal Data'!$E$14:$V$14, 0)))</f>
        <v>0.11584699426229506</v>
      </c>
      <c r="G280" s="1114">
        <f t="shared" si="27"/>
        <v>115.4</v>
      </c>
      <c r="H280" s="1114">
        <f t="shared" si="27"/>
        <v>320.2</v>
      </c>
      <c r="U280" s="1104"/>
    </row>
    <row r="281" spans="1:21">
      <c r="A281" s="1111">
        <f t="shared" si="26"/>
        <v>44651</v>
      </c>
      <c r="B281" s="1112">
        <f t="shared" si="24"/>
        <v>2022</v>
      </c>
      <c r="C281" s="1279">
        <v>116.5</v>
      </c>
      <c r="D281" s="1279">
        <v>323.5</v>
      </c>
      <c r="E281" s="1113">
        <f>IF($A281&lt;DATE(2018,7,1),"-",INDEX('I1 - Universal Data'!$E$16:$V$16, MATCH(YEAR(EOMONTH($A281,6)), 'I1 - Universal Data'!$E$14:$V$14, 0)))</f>
        <v>9.0667455547039033E-2</v>
      </c>
      <c r="F281" s="1113">
        <f>IF($A281&lt;DATE(2018,7,1),"-",INDEX('I1 - Universal Data'!$E$15:$V$15, MATCH(YEAR(EOMONTH($A281,6)), 'I1 - Universal Data'!$E$14:$V$14, 0)))</f>
        <v>0.11584699426229506</v>
      </c>
      <c r="G281" s="1114">
        <f t="shared" si="27"/>
        <v>116.5</v>
      </c>
      <c r="H281" s="1114">
        <f t="shared" si="27"/>
        <v>323.5</v>
      </c>
      <c r="U281" s="1104"/>
    </row>
    <row r="282" spans="1:21">
      <c r="A282" s="1111">
        <f t="shared" si="26"/>
        <v>44681</v>
      </c>
      <c r="B282" s="1112">
        <f t="shared" si="24"/>
        <v>2023</v>
      </c>
      <c r="C282" s="1279">
        <v>119</v>
      </c>
      <c r="D282" s="1279">
        <v>334.6</v>
      </c>
      <c r="E282" s="1113">
        <f>IF($A282&lt;DATE(2018,7,1),"-",INDEX('I1 - Universal Data'!$E$16:$V$16, MATCH(YEAR(EOMONTH($A282,6)), 'I1 - Universal Data'!$E$14:$V$14, 0)))</f>
        <v>9.0667455547039033E-2</v>
      </c>
      <c r="F282" s="1113">
        <f>IF($A282&lt;DATE(2018,7,1),"-",INDEX('I1 - Universal Data'!$E$15:$V$15, MATCH(YEAR(EOMONTH($A282,6)), 'I1 - Universal Data'!$E$14:$V$14, 0)))</f>
        <v>0.11584699426229506</v>
      </c>
      <c r="G282" s="1114">
        <f t="shared" si="27"/>
        <v>119</v>
      </c>
      <c r="H282" s="1114">
        <f t="shared" si="27"/>
        <v>334.6</v>
      </c>
      <c r="U282" s="114"/>
    </row>
    <row r="283" spans="1:21">
      <c r="A283" s="1111">
        <f t="shared" si="26"/>
        <v>44712</v>
      </c>
      <c r="B283" s="1112">
        <f t="shared" si="24"/>
        <v>2023</v>
      </c>
      <c r="C283" s="1279">
        <v>119.7</v>
      </c>
      <c r="D283" s="1279">
        <v>337.1</v>
      </c>
      <c r="E283" s="1113">
        <f>IF($A283&lt;DATE(2018,7,1),"-",INDEX('I1 - Universal Data'!$E$16:$V$16, MATCH(YEAR(EOMONTH($A283,6)), 'I1 - Universal Data'!$E$14:$V$14, 0)))</f>
        <v>9.0667455547039033E-2</v>
      </c>
      <c r="F283" s="1113">
        <f>IF($A283&lt;DATE(2018,7,1),"-",INDEX('I1 - Universal Data'!$E$15:$V$15, MATCH(YEAR(EOMONTH($A283,6)), 'I1 - Universal Data'!$E$14:$V$14, 0)))</f>
        <v>0.11584699426229506</v>
      </c>
      <c r="G283" s="1114">
        <f t="shared" si="27"/>
        <v>119.7</v>
      </c>
      <c r="H283" s="1114">
        <f t="shared" si="27"/>
        <v>337.1</v>
      </c>
      <c r="U283" s="114"/>
    </row>
    <row r="284" spans="1:21">
      <c r="A284" s="1111">
        <f t="shared" si="26"/>
        <v>44742</v>
      </c>
      <c r="B284" s="1112">
        <f t="shared" si="24"/>
        <v>2023</v>
      </c>
      <c r="C284" s="1279">
        <v>120.5</v>
      </c>
      <c r="D284" s="1279">
        <v>340</v>
      </c>
      <c r="E284" s="1113">
        <f>IF($A284&lt;DATE(2018,7,1),"-",INDEX('I1 - Universal Data'!$E$16:$V$16, MATCH(YEAR(EOMONTH($A284,6)), 'I1 - Universal Data'!$E$14:$V$14, 0)))</f>
        <v>9.0667455547039033E-2</v>
      </c>
      <c r="F284" s="1113">
        <f>IF($A284&lt;DATE(2018,7,1),"-",INDEX('I1 - Universal Data'!$E$15:$V$15, MATCH(YEAR(EOMONTH($A284,6)), 'I1 - Universal Data'!$E$14:$V$14, 0)))</f>
        <v>0.11584699426229506</v>
      </c>
      <c r="G284" s="1114">
        <f t="shared" si="27"/>
        <v>120.5</v>
      </c>
      <c r="H284" s="1114">
        <f t="shared" si="27"/>
        <v>340</v>
      </c>
      <c r="U284" s="114"/>
    </row>
    <row r="285" spans="1:21">
      <c r="A285" s="1111">
        <f t="shared" si="26"/>
        <v>44773</v>
      </c>
      <c r="B285" s="1112">
        <f t="shared" si="24"/>
        <v>2023</v>
      </c>
      <c r="C285" s="1279">
        <v>121.2</v>
      </c>
      <c r="D285" s="1279">
        <v>343.2</v>
      </c>
      <c r="E285" s="1113">
        <f>IF($A285&lt;DATE(2018,7,1),"-",INDEX('I1 - Universal Data'!$E$16:$V$16, MATCH(YEAR(EOMONTH($A285,6)), 'I1 - Universal Data'!$E$14:$V$14, 0)))</f>
        <v>7.3032807433557098E-2</v>
      </c>
      <c r="F285" s="1113">
        <f>IF($A285&lt;DATE(2018,7,1),"-",INDEX('I1 - Universal Data'!$E$15:$V$15, MATCH(YEAR(EOMONTH($A285,6)), 'I1 - Universal Data'!$E$14:$V$14, 0)))</f>
        <v>9.6914789201007601E-2</v>
      </c>
      <c r="G285" s="1114">
        <f t="shared" si="27"/>
        <v>121.2</v>
      </c>
      <c r="H285" s="1114">
        <f t="shared" si="27"/>
        <v>343.2</v>
      </c>
      <c r="U285" s="114"/>
    </row>
    <row r="286" spans="1:21">
      <c r="A286" s="1111">
        <f t="shared" si="26"/>
        <v>44804</v>
      </c>
      <c r="B286" s="1112">
        <f t="shared" si="24"/>
        <v>2023</v>
      </c>
      <c r="C286" s="1279">
        <v>121.8</v>
      </c>
      <c r="D286" s="1279">
        <v>345.2</v>
      </c>
      <c r="E286" s="1113">
        <f>IF($A286&lt;DATE(2018,7,1),"-",INDEX('I1 - Universal Data'!$E$16:$V$16, MATCH(YEAR(EOMONTH($A286,6)), 'I1 - Universal Data'!$E$14:$V$14, 0)))</f>
        <v>7.3032807433557098E-2</v>
      </c>
      <c r="F286" s="1113">
        <f>IF($A286&lt;DATE(2018,7,1),"-",INDEX('I1 - Universal Data'!$E$15:$V$15, MATCH(YEAR(EOMONTH($A286,6)), 'I1 - Universal Data'!$E$14:$V$14, 0)))</f>
        <v>9.6914789201007601E-2</v>
      </c>
      <c r="G286" s="1114">
        <f t="shared" si="27"/>
        <v>121.8</v>
      </c>
      <c r="H286" s="1114">
        <f t="shared" si="27"/>
        <v>345.2</v>
      </c>
      <c r="U286" s="114"/>
    </row>
    <row r="287" spans="1:21">
      <c r="A287" s="1111">
        <f t="shared" si="26"/>
        <v>44834</v>
      </c>
      <c r="B287" s="1112">
        <f t="shared" si="24"/>
        <v>2023</v>
      </c>
      <c r="C287" s="1279">
        <v>122.3</v>
      </c>
      <c r="D287" s="1279">
        <v>347.6</v>
      </c>
      <c r="E287" s="1113">
        <f>IF($A287&lt;DATE(2018,7,1),"-",INDEX('I1 - Universal Data'!$E$16:$V$16, MATCH(YEAR(EOMONTH($A287,6)), 'I1 - Universal Data'!$E$14:$V$14, 0)))</f>
        <v>7.3032807433557098E-2</v>
      </c>
      <c r="F287" s="1113">
        <f>IF($A287&lt;DATE(2018,7,1),"-",INDEX('I1 - Universal Data'!$E$15:$V$15, MATCH(YEAR(EOMONTH($A287,6)), 'I1 - Universal Data'!$E$14:$V$14, 0)))</f>
        <v>9.6914789201007601E-2</v>
      </c>
      <c r="G287" s="1114">
        <f t="shared" si="27"/>
        <v>122.3</v>
      </c>
      <c r="H287" s="1114">
        <f t="shared" si="27"/>
        <v>347.6</v>
      </c>
      <c r="U287" s="114"/>
    </row>
    <row r="288" spans="1:21">
      <c r="A288" s="1111">
        <f t="shared" si="26"/>
        <v>44865</v>
      </c>
      <c r="B288" s="1112">
        <f t="shared" si="24"/>
        <v>2023</v>
      </c>
      <c r="C288" s="1279">
        <v>124.3</v>
      </c>
      <c r="D288" s="1279">
        <v>356.2</v>
      </c>
      <c r="E288" s="1113">
        <f>IF($A288&lt;DATE(2018,7,1),"-",INDEX('I1 - Universal Data'!$E$16:$V$16, MATCH(YEAR(EOMONTH($A288,6)), 'I1 - Universal Data'!$E$14:$V$14, 0)))</f>
        <v>7.3032807433557098E-2</v>
      </c>
      <c r="F288" s="1113">
        <f>IF($A288&lt;DATE(2018,7,1),"-",INDEX('I1 - Universal Data'!$E$15:$V$15, MATCH(YEAR(EOMONTH($A288,6)), 'I1 - Universal Data'!$E$14:$V$14, 0)))</f>
        <v>9.6914789201007601E-2</v>
      </c>
      <c r="G288" s="1114">
        <f t="shared" si="27"/>
        <v>124.3</v>
      </c>
      <c r="H288" s="1114">
        <f t="shared" si="27"/>
        <v>356.2</v>
      </c>
      <c r="U288" s="114"/>
    </row>
    <row r="289" spans="1:21">
      <c r="A289" s="1111">
        <f t="shared" si="26"/>
        <v>44895</v>
      </c>
      <c r="B289" s="1112">
        <f t="shared" si="24"/>
        <v>2023</v>
      </c>
      <c r="C289" s="1279">
        <v>124.8</v>
      </c>
      <c r="D289" s="1279">
        <v>358.3</v>
      </c>
      <c r="E289" s="1113">
        <f>IF($A289&lt;DATE(2018,7,1),"-",INDEX('I1 - Universal Data'!$E$16:$V$16, MATCH(YEAR(EOMONTH($A289,6)), 'I1 - Universal Data'!$E$14:$V$14, 0)))</f>
        <v>7.3032807433557098E-2</v>
      </c>
      <c r="F289" s="1113">
        <f>IF($A289&lt;DATE(2018,7,1),"-",INDEX('I1 - Universal Data'!$E$15:$V$15, MATCH(YEAR(EOMONTH($A289,6)), 'I1 - Universal Data'!$E$14:$V$14, 0)))</f>
        <v>9.6914789201007601E-2</v>
      </c>
      <c r="G289" s="1114">
        <f t="shared" si="27"/>
        <v>124.8</v>
      </c>
      <c r="H289" s="1114">
        <f t="shared" si="27"/>
        <v>358.3</v>
      </c>
      <c r="U289" s="114"/>
    </row>
    <row r="290" spans="1:21">
      <c r="A290" s="1111">
        <f t="shared" si="26"/>
        <v>44926</v>
      </c>
      <c r="B290" s="1112">
        <f t="shared" si="24"/>
        <v>2023</v>
      </c>
      <c r="C290" s="1279">
        <v>125.3</v>
      </c>
      <c r="D290" s="1279">
        <v>360.4</v>
      </c>
      <c r="E290" s="1113">
        <f>IF($A290&lt;DATE(2018,7,1),"-",INDEX('I1 - Universal Data'!$E$16:$V$16, MATCH(YEAR(EOMONTH($A290,6)), 'I1 - Universal Data'!$E$14:$V$14, 0)))</f>
        <v>7.3032807433557098E-2</v>
      </c>
      <c r="F290" s="1113">
        <f>IF($A290&lt;DATE(2018,7,1),"-",INDEX('I1 - Universal Data'!$E$15:$V$15, MATCH(YEAR(EOMONTH($A290,6)), 'I1 - Universal Data'!$E$14:$V$14, 0)))</f>
        <v>9.6914789201007601E-2</v>
      </c>
      <c r="G290" s="1114">
        <f t="shared" si="27"/>
        <v>125.3</v>
      </c>
      <c r="H290" s="1114">
        <f t="shared" si="27"/>
        <v>360.4</v>
      </c>
      <c r="U290" s="114"/>
    </row>
    <row r="291" spans="1:21">
      <c r="A291" s="1111">
        <f t="shared" si="26"/>
        <v>44957</v>
      </c>
      <c r="B291" s="1112">
        <f t="shared" si="24"/>
        <v>2023</v>
      </c>
      <c r="C291" s="1279">
        <v>124.8</v>
      </c>
      <c r="D291" s="1279">
        <v>360.3</v>
      </c>
      <c r="E291" s="1113">
        <f>IF($A291&lt;DATE(2018,7,1),"-",INDEX('I1 - Universal Data'!$E$16:$V$16, MATCH(YEAR(EOMONTH($A291,6)), 'I1 - Universal Data'!$E$14:$V$14, 0)))</f>
        <v>7.3032807433557098E-2</v>
      </c>
      <c r="F291" s="1113">
        <f>IF($A291&lt;DATE(2018,7,1),"-",INDEX('I1 - Universal Data'!$E$15:$V$15, MATCH(YEAR(EOMONTH($A291,6)), 'I1 - Universal Data'!$E$14:$V$14, 0)))</f>
        <v>9.6914789201007601E-2</v>
      </c>
      <c r="G291" s="1114">
        <f t="shared" si="27"/>
        <v>124.8</v>
      </c>
      <c r="H291" s="1114">
        <f t="shared" si="27"/>
        <v>360.3</v>
      </c>
      <c r="U291" s="114"/>
    </row>
    <row r="292" spans="1:21">
      <c r="A292" s="1111">
        <f t="shared" si="26"/>
        <v>44985</v>
      </c>
      <c r="B292" s="1112">
        <f t="shared" si="24"/>
        <v>2023</v>
      </c>
      <c r="C292" s="1279">
        <v>126</v>
      </c>
      <c r="D292" s="1279">
        <v>364.5</v>
      </c>
      <c r="E292" s="1113">
        <f>IF($A292&lt;DATE(2018,7,1),"-",INDEX('I1 - Universal Data'!$E$16:$V$16, MATCH(YEAR(EOMONTH($A292,6)), 'I1 - Universal Data'!$E$14:$V$14, 0)))</f>
        <v>7.3032807433557098E-2</v>
      </c>
      <c r="F292" s="1113">
        <f>IF($A292&lt;DATE(2018,7,1),"-",INDEX('I1 - Universal Data'!$E$15:$V$15, MATCH(YEAR(EOMONTH($A292,6)), 'I1 - Universal Data'!$E$14:$V$14, 0)))</f>
        <v>9.6914789201007601E-2</v>
      </c>
      <c r="G292" s="1114">
        <f t="shared" si="27"/>
        <v>126</v>
      </c>
      <c r="H292" s="1114">
        <f t="shared" si="27"/>
        <v>364.5</v>
      </c>
      <c r="U292" s="114"/>
    </row>
    <row r="293" spans="1:21">
      <c r="A293" s="1111">
        <f t="shared" si="26"/>
        <v>45016</v>
      </c>
      <c r="B293" s="1112">
        <f t="shared" si="24"/>
        <v>2023</v>
      </c>
      <c r="C293" s="1279">
        <v>126.8</v>
      </c>
      <c r="D293" s="1279">
        <v>367.2</v>
      </c>
      <c r="E293" s="1113">
        <f>IF($A293&lt;DATE(2018,7,1),"-",INDEX('I1 - Universal Data'!$E$16:$V$16, MATCH(YEAR(EOMONTH($A293,6)), 'I1 - Universal Data'!$E$14:$V$14, 0)))</f>
        <v>7.3032807433557098E-2</v>
      </c>
      <c r="F293" s="1113">
        <f>IF($A293&lt;DATE(2018,7,1),"-",INDEX('I1 - Universal Data'!$E$15:$V$15, MATCH(YEAR(EOMONTH($A293,6)), 'I1 - Universal Data'!$E$14:$V$14, 0)))</f>
        <v>9.6914789201007601E-2</v>
      </c>
      <c r="G293" s="1114">
        <f t="shared" si="27"/>
        <v>126.8</v>
      </c>
      <c r="H293" s="1114">
        <f t="shared" si="27"/>
        <v>367.2</v>
      </c>
      <c r="U293" s="114"/>
    </row>
    <row r="294" spans="1:21">
      <c r="A294" s="1111">
        <f t="shared" si="26"/>
        <v>45046</v>
      </c>
      <c r="B294" s="1112">
        <f t="shared" si="24"/>
        <v>2024</v>
      </c>
      <c r="C294" s="1279">
        <v>128.30000000000001</v>
      </c>
      <c r="D294" s="1279">
        <v>372.8</v>
      </c>
      <c r="E294" s="1113">
        <f>IF($A294&lt;DATE(2018,7,1),"-",INDEX('I1 - Universal Data'!$E$16:$V$16, MATCH(YEAR(EOMONTH($A294,6)), 'I1 - Universal Data'!$E$14:$V$14, 0)))</f>
        <v>7.3032807433557098E-2</v>
      </c>
      <c r="F294" s="1113">
        <f>IF($A294&lt;DATE(2018,7,1),"-",INDEX('I1 - Universal Data'!$E$15:$V$15, MATCH(YEAR(EOMONTH($A294,6)), 'I1 - Universal Data'!$E$14:$V$14, 0)))</f>
        <v>9.6914789201007601E-2</v>
      </c>
      <c r="G294" s="1114">
        <f t="shared" ref="G294:H309" si="28">IF(ISBLANK(C294),G293*((1+E294)^(1/12)),C294)</f>
        <v>128.30000000000001</v>
      </c>
      <c r="H294" s="1114">
        <f t="shared" si="28"/>
        <v>372.8</v>
      </c>
      <c r="U294" s="1102"/>
    </row>
    <row r="295" spans="1:21">
      <c r="A295" s="1111">
        <f t="shared" si="26"/>
        <v>45077</v>
      </c>
      <c r="B295" s="1112">
        <f t="shared" si="24"/>
        <v>2024</v>
      </c>
      <c r="C295" s="1279">
        <v>129.1</v>
      </c>
      <c r="D295" s="1279">
        <v>375.3</v>
      </c>
      <c r="E295" s="1113">
        <f>IF($A295&lt;DATE(2018,7,1),"-",INDEX('I1 - Universal Data'!$E$16:$V$16, MATCH(YEAR(EOMONTH($A295,6)), 'I1 - Universal Data'!$E$14:$V$14, 0)))</f>
        <v>7.3032807433557098E-2</v>
      </c>
      <c r="F295" s="1113">
        <f>IF($A295&lt;DATE(2018,7,1),"-",INDEX('I1 - Universal Data'!$E$15:$V$15, MATCH(YEAR(EOMONTH($A295,6)), 'I1 - Universal Data'!$E$14:$V$14, 0)))</f>
        <v>9.6914789201007601E-2</v>
      </c>
      <c r="G295" s="1114">
        <f t="shared" si="28"/>
        <v>129.1</v>
      </c>
      <c r="H295" s="1114">
        <f t="shared" si="28"/>
        <v>375.3</v>
      </c>
      <c r="U295" s="1102"/>
    </row>
    <row r="296" spans="1:21">
      <c r="A296" s="1111">
        <f t="shared" si="26"/>
        <v>45107</v>
      </c>
      <c r="B296" s="1112">
        <f t="shared" si="24"/>
        <v>2024</v>
      </c>
      <c r="C296" s="1279">
        <v>129.4</v>
      </c>
      <c r="D296" s="1279">
        <v>376.4</v>
      </c>
      <c r="E296" s="1113">
        <f>IF($A296&lt;DATE(2018,7,1),"-",INDEX('I1 - Universal Data'!$E$16:$V$16, MATCH(YEAR(EOMONTH($A296,6)), 'I1 - Universal Data'!$E$14:$V$14, 0)))</f>
        <v>7.3032807433557098E-2</v>
      </c>
      <c r="F296" s="1113">
        <f>IF($A296&lt;DATE(2018,7,1),"-",INDEX('I1 - Universal Data'!$E$15:$V$15, MATCH(YEAR(EOMONTH($A296,6)), 'I1 - Universal Data'!$E$14:$V$14, 0)))</f>
        <v>9.6914789201007601E-2</v>
      </c>
      <c r="G296" s="1114">
        <f t="shared" si="28"/>
        <v>129.4</v>
      </c>
      <c r="H296" s="1114">
        <f t="shared" si="28"/>
        <v>376.4</v>
      </c>
      <c r="U296" s="1102"/>
    </row>
    <row r="297" spans="1:21">
      <c r="A297" s="1111">
        <f t="shared" si="26"/>
        <v>45138</v>
      </c>
      <c r="B297" s="1112">
        <f t="shared" si="24"/>
        <v>2024</v>
      </c>
      <c r="C297" s="1279">
        <v>129</v>
      </c>
      <c r="D297" s="1279">
        <v>374.2</v>
      </c>
      <c r="E297" s="1113">
        <f>IF($A297&lt;DATE(2018,7,1),"-",INDEX('I1 - Universal Data'!$E$16:$V$16, MATCH(YEAR(EOMONTH($A297,6)), 'I1 - Universal Data'!$E$14:$V$14, 0)))</f>
        <v>2.1902133306788099E-2</v>
      </c>
      <c r="F297" s="1113">
        <f>IF($A297&lt;DATE(2018,7,1),"-",INDEX('I1 - Universal Data'!$E$15:$V$15, MATCH(YEAR(EOMONTH($A297,6)), 'I1 - Universal Data'!$E$14:$V$14, 0)))</f>
        <v>3.1356893625321E-2</v>
      </c>
      <c r="G297" s="1114">
        <f t="shared" si="28"/>
        <v>129</v>
      </c>
      <c r="H297" s="1114">
        <f t="shared" si="28"/>
        <v>374.2</v>
      </c>
      <c r="U297" s="1102"/>
    </row>
    <row r="298" spans="1:21">
      <c r="A298" s="1111">
        <f t="shared" si="26"/>
        <v>45169</v>
      </c>
      <c r="B298" s="1112">
        <f t="shared" si="24"/>
        <v>2024</v>
      </c>
      <c r="C298" s="1279">
        <v>129.4</v>
      </c>
      <c r="D298" s="1279">
        <v>376.6</v>
      </c>
      <c r="E298" s="1113">
        <f>IF($A298&lt;DATE(2018,7,1),"-",INDEX('I1 - Universal Data'!$E$16:$V$16, MATCH(YEAR(EOMONTH($A298,6)), 'I1 - Universal Data'!$E$14:$V$14, 0)))</f>
        <v>2.1902133306788099E-2</v>
      </c>
      <c r="F298" s="1113">
        <f>IF($A298&lt;DATE(2018,7,1),"-",INDEX('I1 - Universal Data'!$E$15:$V$15, MATCH(YEAR(EOMONTH($A298,6)), 'I1 - Universal Data'!$E$14:$V$14, 0)))</f>
        <v>3.1356893625321E-2</v>
      </c>
      <c r="G298" s="1114">
        <f t="shared" si="28"/>
        <v>129.4</v>
      </c>
      <c r="H298" s="1114">
        <f t="shared" si="28"/>
        <v>376.6</v>
      </c>
      <c r="U298" s="1102"/>
    </row>
    <row r="299" spans="1:21">
      <c r="A299" s="1111">
        <f t="shared" si="26"/>
        <v>45199</v>
      </c>
      <c r="B299" s="1112">
        <f t="shared" si="24"/>
        <v>2024</v>
      </c>
      <c r="C299" s="1279">
        <v>130.1</v>
      </c>
      <c r="D299" s="1279">
        <v>378.4</v>
      </c>
      <c r="E299" s="1113">
        <f>IF($A299&lt;DATE(2018,7,1),"-",INDEX('I1 - Universal Data'!$E$16:$V$16, MATCH(YEAR(EOMONTH($A299,6)), 'I1 - Universal Data'!$E$14:$V$14, 0)))</f>
        <v>2.1902133306788099E-2</v>
      </c>
      <c r="F299" s="1113">
        <f>IF($A299&lt;DATE(2018,7,1),"-",INDEX('I1 - Universal Data'!$E$15:$V$15, MATCH(YEAR(EOMONTH($A299,6)), 'I1 - Universal Data'!$E$14:$V$14, 0)))</f>
        <v>3.1356893625321E-2</v>
      </c>
      <c r="G299" s="1114">
        <f t="shared" si="28"/>
        <v>130.1</v>
      </c>
      <c r="H299" s="1114">
        <f t="shared" si="28"/>
        <v>378.4</v>
      </c>
      <c r="U299" s="1102"/>
    </row>
    <row r="300" spans="1:21">
      <c r="A300" s="1111">
        <f t="shared" si="26"/>
        <v>45230</v>
      </c>
      <c r="B300" s="1112">
        <f t="shared" si="24"/>
        <v>2024</v>
      </c>
      <c r="C300" s="1279">
        <v>130.19999999999999</v>
      </c>
      <c r="D300" s="1279">
        <v>377.8</v>
      </c>
      <c r="E300" s="1113">
        <f>IF($A300&lt;DATE(2018,7,1),"-",INDEX('I1 - Universal Data'!$E$16:$V$16, MATCH(YEAR(EOMONTH($A300,6)), 'I1 - Universal Data'!$E$14:$V$14, 0)))</f>
        <v>2.1902133306788099E-2</v>
      </c>
      <c r="F300" s="1113">
        <f>IF($A300&lt;DATE(2018,7,1),"-",INDEX('I1 - Universal Data'!$E$15:$V$15, MATCH(YEAR(EOMONTH($A300,6)), 'I1 - Universal Data'!$E$14:$V$14, 0)))</f>
        <v>3.1356893625321E-2</v>
      </c>
      <c r="G300" s="1114">
        <f t="shared" si="28"/>
        <v>130.19999999999999</v>
      </c>
      <c r="H300" s="1114">
        <f t="shared" si="28"/>
        <v>377.8</v>
      </c>
      <c r="U300" s="1102"/>
    </row>
    <row r="301" spans="1:21">
      <c r="A301" s="1111">
        <f t="shared" si="26"/>
        <v>45260</v>
      </c>
      <c r="B301" s="1112">
        <f t="shared" si="24"/>
        <v>2024</v>
      </c>
      <c r="C301" s="1279">
        <v>130</v>
      </c>
      <c r="D301" s="1279">
        <v>377.3</v>
      </c>
      <c r="E301" s="1113">
        <f>IF($A301&lt;DATE(2018,7,1),"-",INDEX('I1 - Universal Data'!$E$16:$V$16, MATCH(YEAR(EOMONTH($A301,6)), 'I1 - Universal Data'!$E$14:$V$14, 0)))</f>
        <v>2.1902133306788099E-2</v>
      </c>
      <c r="F301" s="1113">
        <f>IF($A301&lt;DATE(2018,7,1),"-",INDEX('I1 - Universal Data'!$E$15:$V$15, MATCH(YEAR(EOMONTH($A301,6)), 'I1 - Universal Data'!$E$14:$V$14, 0)))</f>
        <v>3.1356893625321E-2</v>
      </c>
      <c r="G301" s="1114">
        <f t="shared" si="28"/>
        <v>130</v>
      </c>
      <c r="H301" s="1114">
        <f t="shared" si="28"/>
        <v>377.3</v>
      </c>
      <c r="U301" s="1102"/>
    </row>
    <row r="302" spans="1:21">
      <c r="A302" s="1111">
        <f t="shared" si="26"/>
        <v>45291</v>
      </c>
      <c r="B302" s="1112">
        <f t="shared" si="24"/>
        <v>2024</v>
      </c>
      <c r="C302" s="1279">
        <v>130.5</v>
      </c>
      <c r="D302" s="1279">
        <v>379</v>
      </c>
      <c r="E302" s="1113">
        <f>IF($A302&lt;DATE(2018,7,1),"-",INDEX('I1 - Universal Data'!$E$16:$V$16, MATCH(YEAR(EOMONTH($A302,6)), 'I1 - Universal Data'!$E$14:$V$14, 0)))</f>
        <v>2.1902133306788099E-2</v>
      </c>
      <c r="F302" s="1113">
        <f>IF($A302&lt;DATE(2018,7,1),"-",INDEX('I1 - Universal Data'!$E$15:$V$15, MATCH(YEAR(EOMONTH($A302,6)), 'I1 - Universal Data'!$E$14:$V$14, 0)))</f>
        <v>3.1356893625321E-2</v>
      </c>
      <c r="G302" s="1114">
        <f t="shared" si="28"/>
        <v>130.5</v>
      </c>
      <c r="H302" s="1114">
        <f t="shared" si="28"/>
        <v>379</v>
      </c>
      <c r="U302" s="1102"/>
    </row>
    <row r="303" spans="1:21">
      <c r="A303" s="1111">
        <f t="shared" si="26"/>
        <v>45322</v>
      </c>
      <c r="B303" s="1112">
        <f t="shared" si="24"/>
        <v>2024</v>
      </c>
      <c r="C303" s="1279">
        <v>130</v>
      </c>
      <c r="D303" s="1279">
        <v>378</v>
      </c>
      <c r="E303" s="1113">
        <f>IF($A303&lt;DATE(2018,7,1),"-",INDEX('I1 - Universal Data'!$E$16:$V$16, MATCH(YEAR(EOMONTH($A303,6)), 'I1 - Universal Data'!$E$14:$V$14, 0)))</f>
        <v>2.1902133306788099E-2</v>
      </c>
      <c r="F303" s="1113">
        <f>IF($A303&lt;DATE(2018,7,1),"-",INDEX('I1 - Universal Data'!$E$15:$V$15, MATCH(YEAR(EOMONTH($A303,6)), 'I1 - Universal Data'!$E$14:$V$14, 0)))</f>
        <v>3.1356893625321E-2</v>
      </c>
      <c r="G303" s="1114">
        <f t="shared" si="28"/>
        <v>130</v>
      </c>
      <c r="H303" s="1114">
        <f t="shared" si="28"/>
        <v>378</v>
      </c>
      <c r="U303" s="1102"/>
    </row>
    <row r="304" spans="1:21">
      <c r="A304" s="1111">
        <f t="shared" si="26"/>
        <v>45351</v>
      </c>
      <c r="B304" s="1112">
        <f t="shared" si="24"/>
        <v>2024</v>
      </c>
      <c r="C304" s="1279">
        <v>130.80000000000001</v>
      </c>
      <c r="D304" s="1279">
        <v>381</v>
      </c>
      <c r="E304" s="1113">
        <f>IF($A304&lt;DATE(2018,7,1),"-",INDEX('I1 - Universal Data'!$E$16:$V$16, MATCH(YEAR(EOMONTH($A304,6)), 'I1 - Universal Data'!$E$14:$V$14, 0)))</f>
        <v>2.1902133306788099E-2</v>
      </c>
      <c r="F304" s="1113">
        <f>IF($A304&lt;DATE(2018,7,1),"-",INDEX('I1 - Universal Data'!$E$15:$V$15, MATCH(YEAR(EOMONTH($A304,6)), 'I1 - Universal Data'!$E$14:$V$14, 0)))</f>
        <v>3.1356893625321E-2</v>
      </c>
      <c r="G304" s="1114">
        <f t="shared" si="28"/>
        <v>130.80000000000001</v>
      </c>
      <c r="H304" s="1114">
        <f t="shared" si="28"/>
        <v>381</v>
      </c>
      <c r="U304" s="1102"/>
    </row>
    <row r="305" spans="1:21">
      <c r="A305" s="1111">
        <f t="shared" si="26"/>
        <v>45382</v>
      </c>
      <c r="B305" s="1112">
        <f t="shared" si="24"/>
        <v>2024</v>
      </c>
      <c r="C305" s="1279">
        <v>131.6</v>
      </c>
      <c r="D305" s="1279">
        <v>383</v>
      </c>
      <c r="E305" s="1113">
        <f>IF($A305&lt;DATE(2018,7,1),"-",INDEX('I1 - Universal Data'!$E$16:$V$16, MATCH(YEAR(EOMONTH($A305,6)), 'I1 - Universal Data'!$E$14:$V$14, 0)))</f>
        <v>2.1902133306788099E-2</v>
      </c>
      <c r="F305" s="1113">
        <f>IF($A305&lt;DATE(2018,7,1),"-",INDEX('I1 - Universal Data'!$E$15:$V$15, MATCH(YEAR(EOMONTH($A305,6)), 'I1 - Universal Data'!$E$14:$V$14, 0)))</f>
        <v>3.1356893625321E-2</v>
      </c>
      <c r="G305" s="1114">
        <f t="shared" si="28"/>
        <v>131.6</v>
      </c>
      <c r="H305" s="1114">
        <f t="shared" si="28"/>
        <v>383</v>
      </c>
      <c r="U305" s="1102"/>
    </row>
    <row r="306" spans="1:21">
      <c r="A306" s="1111">
        <f t="shared" si="26"/>
        <v>45412</v>
      </c>
      <c r="B306" s="1112">
        <f t="shared" si="24"/>
        <v>2025</v>
      </c>
      <c r="C306" s="1279"/>
      <c r="D306" s="1279"/>
      <c r="E306" s="1113">
        <f>IF($A306&lt;DATE(2018,7,1),"-",INDEX('I1 - Universal Data'!$E$16:$V$16, MATCH(YEAR(EOMONTH($A306,6)), 'I1 - Universal Data'!$E$14:$V$14, 0)))</f>
        <v>2.1902133306788099E-2</v>
      </c>
      <c r="F306" s="1113">
        <f>IF($A306&lt;DATE(2018,7,1),"-",INDEX('I1 - Universal Data'!$E$15:$V$15, MATCH(YEAR(EOMONTH($A306,6)), 'I1 - Universal Data'!$E$14:$V$14, 0)))</f>
        <v>3.1356893625321E-2</v>
      </c>
      <c r="G306" s="1114">
        <f t="shared" si="28"/>
        <v>131.83781542911365</v>
      </c>
      <c r="H306" s="1114">
        <f t="shared" si="28"/>
        <v>383.98670572883924</v>
      </c>
      <c r="U306" s="1102"/>
    </row>
    <row r="307" spans="1:21">
      <c r="A307" s="1111">
        <f t="shared" si="26"/>
        <v>45443</v>
      </c>
      <c r="B307" s="1112">
        <f t="shared" si="24"/>
        <v>2025</v>
      </c>
      <c r="C307" s="1279"/>
      <c r="D307" s="1279"/>
      <c r="E307" s="1113">
        <f>IF($A307&lt;DATE(2018,7,1),"-",INDEX('I1 - Universal Data'!$E$16:$V$16, MATCH(YEAR(EOMONTH($A307,6)), 'I1 - Universal Data'!$E$14:$V$14, 0)))</f>
        <v>2.1902133306788099E-2</v>
      </c>
      <c r="F307" s="1113">
        <f>IF($A307&lt;DATE(2018,7,1),"-",INDEX('I1 - Universal Data'!$E$15:$V$15, MATCH(YEAR(EOMONTH($A307,6)), 'I1 - Universal Data'!$E$14:$V$14, 0)))</f>
        <v>3.1356893625321E-2</v>
      </c>
      <c r="G307" s="1114">
        <f t="shared" si="28"/>
        <v>132.07606061642124</v>
      </c>
      <c r="H307" s="1114">
        <f t="shared" si="28"/>
        <v>384.97595346341041</v>
      </c>
      <c r="U307" s="1102"/>
    </row>
    <row r="308" spans="1:21">
      <c r="A308" s="1111">
        <f t="shared" si="26"/>
        <v>45473</v>
      </c>
      <c r="B308" s="1112">
        <f t="shared" si="24"/>
        <v>2025</v>
      </c>
      <c r="C308" s="1279"/>
      <c r="D308" s="1279"/>
      <c r="E308" s="1113">
        <f>IF($A308&lt;DATE(2018,7,1),"-",INDEX('I1 - Universal Data'!$E$16:$V$16, MATCH(YEAR(EOMONTH($A308,6)), 'I1 - Universal Data'!$E$14:$V$14, 0)))</f>
        <v>2.1902133306788099E-2</v>
      </c>
      <c r="F308" s="1113">
        <f>IF($A308&lt;DATE(2018,7,1),"-",INDEX('I1 - Universal Data'!$E$15:$V$15, MATCH(YEAR(EOMONTH($A308,6)), 'I1 - Universal Data'!$E$14:$V$14, 0)))</f>
        <v>3.1356893625321E-2</v>
      </c>
      <c r="G308" s="1114">
        <f t="shared" si="28"/>
        <v>132.31473633854233</v>
      </c>
      <c r="H308" s="1114">
        <f t="shared" si="28"/>
        <v>385.96774975256892</v>
      </c>
      <c r="U308" s="1102"/>
    </row>
    <row r="309" spans="1:21">
      <c r="A309" s="1111">
        <f t="shared" si="26"/>
        <v>45504</v>
      </c>
      <c r="B309" s="1112">
        <f t="shared" si="24"/>
        <v>2025</v>
      </c>
      <c r="C309" s="1279"/>
      <c r="D309" s="1279"/>
      <c r="E309" s="1113">
        <f>IF($A309&lt;DATE(2018,7,1),"-",INDEX('I1 - Universal Data'!$E$16:$V$16, MATCH(YEAR(EOMONTH($A309,6)), 'I1 - Universal Data'!$E$14:$V$14, 0)))</f>
        <v>1.47540195471507E-2</v>
      </c>
      <c r="F309" s="1113">
        <f>IF($A309&lt;DATE(2018,7,1),"-",INDEX('I1 - Universal Data'!$E$15:$V$15, MATCH(YEAR(EOMONTH($A309,6)), 'I1 - Universal Data'!$E$14:$V$14, 0)))</f>
        <v>2.0457266265074402E-2</v>
      </c>
      <c r="G309" s="1114">
        <f t="shared" si="28"/>
        <v>132.47632768949151</v>
      </c>
      <c r="H309" s="1114">
        <f t="shared" si="28"/>
        <v>386.61964683900982</v>
      </c>
      <c r="U309" s="1102"/>
    </row>
    <row r="310" spans="1:21">
      <c r="A310" s="1111">
        <f t="shared" si="26"/>
        <v>45535</v>
      </c>
      <c r="B310" s="1112">
        <f t="shared" si="24"/>
        <v>2025</v>
      </c>
      <c r="C310" s="1279"/>
      <c r="D310" s="1279"/>
      <c r="E310" s="1113">
        <f>IF($A310&lt;DATE(2018,7,1),"-",INDEX('I1 - Universal Data'!$E$16:$V$16, MATCH(YEAR(EOMONTH($A310,6)), 'I1 - Universal Data'!$E$14:$V$14, 0)))</f>
        <v>1.47540195471507E-2</v>
      </c>
      <c r="F310" s="1113">
        <f>IF($A310&lt;DATE(2018,7,1),"-",INDEX('I1 - Universal Data'!$E$15:$V$15, MATCH(YEAR(EOMONTH($A310,6)), 'I1 - Universal Data'!$E$14:$V$14, 0)))</f>
        <v>2.0457266265074402E-2</v>
      </c>
      <c r="G310" s="1114">
        <f t="shared" ref="G310:H325" si="29">IF(ISBLANK(C310),G309*((1+E310)^(1/12)),C310)</f>
        <v>132.63811638629517</v>
      </c>
      <c r="H310" s="1114">
        <f t="shared" si="29"/>
        <v>387.27264497550374</v>
      </c>
      <c r="U310" s="1102"/>
    </row>
    <row r="311" spans="1:21">
      <c r="A311" s="1111">
        <f t="shared" si="26"/>
        <v>45565</v>
      </c>
      <c r="B311" s="1112">
        <f t="shared" si="24"/>
        <v>2025</v>
      </c>
      <c r="C311" s="1279"/>
      <c r="D311" s="1279"/>
      <c r="E311" s="1113">
        <f>IF($A311&lt;DATE(2018,7,1),"-",INDEX('I1 - Universal Data'!$E$16:$V$16, MATCH(YEAR(EOMONTH($A311,6)), 'I1 - Universal Data'!$E$14:$V$14, 0)))</f>
        <v>1.47540195471507E-2</v>
      </c>
      <c r="F311" s="1113">
        <f>IF($A311&lt;DATE(2018,7,1),"-",INDEX('I1 - Universal Data'!$E$15:$V$15, MATCH(YEAR(EOMONTH($A311,6)), 'I1 - Universal Data'!$E$14:$V$14, 0)))</f>
        <v>2.0457266265074402E-2</v>
      </c>
      <c r="G311" s="1114">
        <f t="shared" si="29"/>
        <v>132.80010266996487</v>
      </c>
      <c r="H311" s="1114">
        <f t="shared" si="29"/>
        <v>387.92674602171718</v>
      </c>
      <c r="U311" s="1102"/>
    </row>
    <row r="312" spans="1:21">
      <c r="A312" s="1111">
        <f t="shared" si="26"/>
        <v>45596</v>
      </c>
      <c r="B312" s="1112">
        <f t="shared" si="24"/>
        <v>2025</v>
      </c>
      <c r="C312" s="1279"/>
      <c r="D312" s="1279"/>
      <c r="E312" s="1113">
        <f>IF($A312&lt;DATE(2018,7,1),"-",INDEX('I1 - Universal Data'!$E$16:$V$16, MATCH(YEAR(EOMONTH($A312,6)), 'I1 - Universal Data'!$E$14:$V$14, 0)))</f>
        <v>1.47540195471507E-2</v>
      </c>
      <c r="F312" s="1113">
        <f>IF($A312&lt;DATE(2018,7,1),"-",INDEX('I1 - Universal Data'!$E$15:$V$15, MATCH(YEAR(EOMONTH($A312,6)), 'I1 - Universal Data'!$E$14:$V$14, 0)))</f>
        <v>2.0457266265074402E-2</v>
      </c>
      <c r="G312" s="1114">
        <f t="shared" si="29"/>
        <v>132.96228678180654</v>
      </c>
      <c r="H312" s="1114">
        <f t="shared" si="29"/>
        <v>388.58195184045769</v>
      </c>
      <c r="U312" s="1102"/>
    </row>
    <row r="313" spans="1:21">
      <c r="A313" s="1111">
        <f t="shared" si="26"/>
        <v>45626</v>
      </c>
      <c r="B313" s="1112">
        <f t="shared" si="24"/>
        <v>2025</v>
      </c>
      <c r="C313" s="1279"/>
      <c r="D313" s="1279"/>
      <c r="E313" s="1113">
        <f>IF($A313&lt;DATE(2018,7,1),"-",INDEX('I1 - Universal Data'!$E$16:$V$16, MATCH(YEAR(EOMONTH($A313,6)), 'I1 - Universal Data'!$E$14:$V$14, 0)))</f>
        <v>1.47540195471507E-2</v>
      </c>
      <c r="F313" s="1113">
        <f>IF($A313&lt;DATE(2018,7,1),"-",INDEX('I1 - Universal Data'!$E$15:$V$15, MATCH(YEAR(EOMONTH($A313,6)), 'I1 - Universal Data'!$E$14:$V$14, 0)))</f>
        <v>2.0457266265074402E-2</v>
      </c>
      <c r="G313" s="1114">
        <f t="shared" si="29"/>
        <v>133.12466896342079</v>
      </c>
      <c r="H313" s="1114">
        <f t="shared" si="29"/>
        <v>389.23826429767911</v>
      </c>
      <c r="U313" s="1102"/>
    </row>
    <row r="314" spans="1:21">
      <c r="A314" s="1111">
        <f t="shared" si="26"/>
        <v>45657</v>
      </c>
      <c r="B314" s="1112">
        <f t="shared" si="24"/>
        <v>2025</v>
      </c>
      <c r="C314" s="1279"/>
      <c r="D314" s="1279"/>
      <c r="E314" s="1113">
        <f>IF($A314&lt;DATE(2018,7,1),"-",INDEX('I1 - Universal Data'!$E$16:$V$16, MATCH(YEAR(EOMONTH($A314,6)), 'I1 - Universal Data'!$E$14:$V$14, 0)))</f>
        <v>1.47540195471507E-2</v>
      </c>
      <c r="F314" s="1113">
        <f>IF($A314&lt;DATE(2018,7,1),"-",INDEX('I1 - Universal Data'!$E$15:$V$15, MATCH(YEAR(EOMONTH($A314,6)), 'I1 - Universal Data'!$E$14:$V$14, 0)))</f>
        <v>2.0457266265074402E-2</v>
      </c>
      <c r="G314" s="1114">
        <f t="shared" si="29"/>
        <v>133.28724945670328</v>
      </c>
      <c r="H314" s="1114">
        <f t="shared" si="29"/>
        <v>389.89568526248678</v>
      </c>
      <c r="U314" s="1102"/>
    </row>
    <row r="315" spans="1:21">
      <c r="A315" s="1111">
        <f t="shared" si="26"/>
        <v>45688</v>
      </c>
      <c r="B315" s="1112">
        <f t="shared" si="24"/>
        <v>2025</v>
      </c>
      <c r="C315" s="1279"/>
      <c r="D315" s="1279"/>
      <c r="E315" s="1113">
        <f>IF($A315&lt;DATE(2018,7,1),"-",INDEX('I1 - Universal Data'!$E$16:$V$16, MATCH(YEAR(EOMONTH($A315,6)), 'I1 - Universal Data'!$E$14:$V$14, 0)))</f>
        <v>1.47540195471507E-2</v>
      </c>
      <c r="F315" s="1113">
        <f>IF($A315&lt;DATE(2018,7,1),"-",INDEX('I1 - Universal Data'!$E$15:$V$15, MATCH(YEAR(EOMONTH($A315,6)), 'I1 - Universal Data'!$E$14:$V$14, 0)))</f>
        <v>2.0457266265074402E-2</v>
      </c>
      <c r="G315" s="1114">
        <f t="shared" si="29"/>
        <v>133.45002850384512</v>
      </c>
      <c r="H315" s="1114">
        <f t="shared" si="29"/>
        <v>390.55421660714302</v>
      </c>
      <c r="U315" s="1102"/>
    </row>
    <row r="316" spans="1:21">
      <c r="A316" s="1111">
        <f t="shared" si="26"/>
        <v>45716</v>
      </c>
      <c r="B316" s="1112">
        <f t="shared" si="24"/>
        <v>2025</v>
      </c>
      <c r="C316" s="1279"/>
      <c r="D316" s="1279"/>
      <c r="E316" s="1113">
        <f>IF($A316&lt;DATE(2018,7,1),"-",INDEX('I1 - Universal Data'!$E$16:$V$16, MATCH(YEAR(EOMONTH($A316,6)), 'I1 - Universal Data'!$E$14:$V$14, 0)))</f>
        <v>1.47540195471507E-2</v>
      </c>
      <c r="F316" s="1113">
        <f>IF($A316&lt;DATE(2018,7,1),"-",INDEX('I1 - Universal Data'!$E$15:$V$15, MATCH(YEAR(EOMONTH($A316,6)), 'I1 - Universal Data'!$E$14:$V$14, 0)))</f>
        <v>2.0457266265074402E-2</v>
      </c>
      <c r="G316" s="1114">
        <f t="shared" si="29"/>
        <v>133.61300634733317</v>
      </c>
      <c r="H316" s="1114">
        <f t="shared" si="29"/>
        <v>391.21386020707234</v>
      </c>
      <c r="U316" s="1102"/>
    </row>
    <row r="317" spans="1:21">
      <c r="A317" s="1111">
        <f t="shared" si="26"/>
        <v>45747</v>
      </c>
      <c r="B317" s="1112">
        <f t="shared" si="24"/>
        <v>2025</v>
      </c>
      <c r="C317" s="1279"/>
      <c r="D317" s="1279"/>
      <c r="E317" s="1113">
        <f>IF($A317&lt;DATE(2018,7,1),"-",INDEX('I1 - Universal Data'!$E$16:$V$16, MATCH(YEAR(EOMONTH($A317,6)), 'I1 - Universal Data'!$E$14:$V$14, 0)))</f>
        <v>1.47540195471507E-2</v>
      </c>
      <c r="F317" s="1113">
        <f>IF($A317&lt;DATE(2018,7,1),"-",INDEX('I1 - Universal Data'!$E$15:$V$15, MATCH(YEAR(EOMONTH($A317,6)), 'I1 - Universal Data'!$E$14:$V$14, 0)))</f>
        <v>2.0457266265074402E-2</v>
      </c>
      <c r="G317" s="1114">
        <f t="shared" si="29"/>
        <v>133.77618322995045</v>
      </c>
      <c r="H317" s="1114">
        <f t="shared" si="29"/>
        <v>391.87461794086693</v>
      </c>
      <c r="U317" s="1102"/>
    </row>
    <row r="318" spans="1:21">
      <c r="A318" s="1111">
        <f t="shared" si="26"/>
        <v>45777</v>
      </c>
      <c r="B318" s="1112">
        <f t="shared" si="24"/>
        <v>2026</v>
      </c>
      <c r="C318" s="1279"/>
      <c r="D318" s="1279"/>
      <c r="E318" s="1113">
        <f>IF($A318&lt;DATE(2018,7,1),"-",INDEX('I1 - Universal Data'!$E$16:$V$16, MATCH(YEAR(EOMONTH($A318,6)), 'I1 - Universal Data'!$E$14:$V$14, 0)))</f>
        <v>1.47540195471507E-2</v>
      </c>
      <c r="F318" s="1113">
        <f>IF($A318&lt;DATE(2018,7,1),"-",INDEX('I1 - Universal Data'!$E$15:$V$15, MATCH(YEAR(EOMONTH($A318,6)), 'I1 - Universal Data'!$E$14:$V$14, 0)))</f>
        <v>2.0457266265074402E-2</v>
      </c>
      <c r="G318" s="1114">
        <f t="shared" si="29"/>
        <v>133.93955939477644</v>
      </c>
      <c r="H318" s="1114">
        <f t="shared" si="29"/>
        <v>392.53649169029177</v>
      </c>
      <c r="U318" s="1102"/>
    </row>
    <row r="319" spans="1:21">
      <c r="A319" s="1111">
        <f t="shared" si="26"/>
        <v>45808</v>
      </c>
      <c r="B319" s="1112">
        <f t="shared" si="24"/>
        <v>2026</v>
      </c>
      <c r="C319" s="1279"/>
      <c r="D319" s="1279"/>
      <c r="E319" s="1113">
        <f>IF($A319&lt;DATE(2018,7,1),"-",INDEX('I1 - Universal Data'!$E$16:$V$16, MATCH(YEAR(EOMONTH($A319,6)), 'I1 - Universal Data'!$E$14:$V$14, 0)))</f>
        <v>1.47540195471507E-2</v>
      </c>
      <c r="F319" s="1113">
        <f>IF($A319&lt;DATE(2018,7,1),"-",INDEX('I1 - Universal Data'!$E$15:$V$15, MATCH(YEAR(EOMONTH($A319,6)), 'I1 - Universal Data'!$E$14:$V$14, 0)))</f>
        <v>2.0457266265074402E-2</v>
      </c>
      <c r="G319" s="1114">
        <f t="shared" si="29"/>
        <v>134.10313508518755</v>
      </c>
      <c r="H319" s="1114">
        <f t="shared" si="29"/>
        <v>393.19948334029021</v>
      </c>
      <c r="U319" s="1102"/>
    </row>
    <row r="320" spans="1:21">
      <c r="A320" s="1111">
        <f t="shared" si="26"/>
        <v>45838</v>
      </c>
      <c r="B320" s="1112">
        <f t="shared" si="24"/>
        <v>2026</v>
      </c>
      <c r="C320" s="1279"/>
      <c r="D320" s="1279"/>
      <c r="E320" s="1113">
        <f>IF($A320&lt;DATE(2018,7,1),"-",INDEX('I1 - Universal Data'!$E$16:$V$16, MATCH(YEAR(EOMONTH($A320,6)), 'I1 - Universal Data'!$E$14:$V$14, 0)))</f>
        <v>1.47540195471507E-2</v>
      </c>
      <c r="F320" s="1113">
        <f>IF($A320&lt;DATE(2018,7,1),"-",INDEX('I1 - Universal Data'!$E$15:$V$15, MATCH(YEAR(EOMONTH($A320,6)), 'I1 - Universal Data'!$E$14:$V$14, 0)))</f>
        <v>2.0457266265074402E-2</v>
      </c>
      <c r="G320" s="1114">
        <f t="shared" si="29"/>
        <v>134.26691054485738</v>
      </c>
      <c r="H320" s="1114">
        <f t="shared" si="29"/>
        <v>393.86359477898924</v>
      </c>
      <c r="U320" s="1102"/>
    </row>
    <row r="321" spans="1:21">
      <c r="A321" s="1111">
        <f t="shared" si="26"/>
        <v>45869</v>
      </c>
      <c r="B321" s="1112">
        <f t="shared" si="24"/>
        <v>2026</v>
      </c>
      <c r="C321" s="1279"/>
      <c r="D321" s="1279"/>
      <c r="E321" s="1113">
        <f>IF($A321&lt;DATE(2018,7,1),"-",INDEX('I1 - Universal Data'!$E$16:$V$16, MATCH(YEAR(EOMONTH($A321,6)), 'I1 - Universal Data'!$E$14:$V$14, 0)))</f>
        <v>1.62662132526732E-2</v>
      </c>
      <c r="F321" s="1113">
        <f>IF($A321&lt;DATE(2018,7,1),"-",INDEX('I1 - Universal Data'!$E$15:$V$15, MATCH(YEAR(EOMONTH($A321,6)), 'I1 - Universal Data'!$E$14:$V$14, 0)))</f>
        <v>2.4969908330546801E-2</v>
      </c>
      <c r="G321" s="1114">
        <f t="shared" si="29"/>
        <v>134.44756878203748</v>
      </c>
      <c r="H321" s="1114">
        <f t="shared" si="29"/>
        <v>394.67392372077853</v>
      </c>
      <c r="U321" s="1102"/>
    </row>
    <row r="322" spans="1:21">
      <c r="A322" s="1111">
        <f t="shared" si="26"/>
        <v>45900</v>
      </c>
      <c r="B322" s="1112">
        <f t="shared" si="24"/>
        <v>2026</v>
      </c>
      <c r="C322" s="1279"/>
      <c r="D322" s="1279"/>
      <c r="E322" s="1113">
        <f>IF($A322&lt;DATE(2018,7,1),"-",INDEX('I1 - Universal Data'!$E$16:$V$16, MATCH(YEAR(EOMONTH($A322,6)), 'I1 - Universal Data'!$E$14:$V$14, 0)))</f>
        <v>1.62662132526732E-2</v>
      </c>
      <c r="F322" s="1113">
        <f>IF($A322&lt;DATE(2018,7,1),"-",INDEX('I1 - Universal Data'!$E$15:$V$15, MATCH(YEAR(EOMONTH($A322,6)), 'I1 - Universal Data'!$E$14:$V$14, 0)))</f>
        <v>2.4969908330546801E-2</v>
      </c>
      <c r="G322" s="1114">
        <f t="shared" si="29"/>
        <v>134.62847009771346</v>
      </c>
      <c r="H322" s="1114">
        <f t="shared" si="29"/>
        <v>395.4859198209511</v>
      </c>
      <c r="U322" s="1102"/>
    </row>
    <row r="323" spans="1:21">
      <c r="A323" s="1111">
        <f t="shared" si="26"/>
        <v>45930</v>
      </c>
      <c r="B323" s="1112">
        <f t="shared" si="24"/>
        <v>2026</v>
      </c>
      <c r="C323" s="1279"/>
      <c r="D323" s="1279"/>
      <c r="E323" s="1113">
        <f>IF($A323&lt;DATE(2018,7,1),"-",INDEX('I1 - Universal Data'!$E$16:$V$16, MATCH(YEAR(EOMONTH($A323,6)), 'I1 - Universal Data'!$E$14:$V$14, 0)))</f>
        <v>1.62662132526732E-2</v>
      </c>
      <c r="F323" s="1113">
        <f>IF($A323&lt;DATE(2018,7,1),"-",INDEX('I1 - Universal Data'!$E$15:$V$15, MATCH(YEAR(EOMONTH($A323,6)), 'I1 - Universal Data'!$E$14:$V$14, 0)))</f>
        <v>2.4969908330546801E-2</v>
      </c>
      <c r="G323" s="1114">
        <f t="shared" si="29"/>
        <v>134.80961481895125</v>
      </c>
      <c r="H323" s="1114">
        <f t="shared" si="29"/>
        <v>396.29958650949311</v>
      </c>
      <c r="U323" s="1102"/>
    </row>
    <row r="324" spans="1:21">
      <c r="A324" s="1111">
        <f t="shared" si="26"/>
        <v>45961</v>
      </c>
      <c r="B324" s="1112">
        <f t="shared" si="24"/>
        <v>2026</v>
      </c>
      <c r="C324" s="1279"/>
      <c r="D324" s="1279"/>
      <c r="E324" s="1113">
        <f>IF($A324&lt;DATE(2018,7,1),"-",INDEX('I1 - Universal Data'!$E$16:$V$16, MATCH(YEAR(EOMONTH($A324,6)), 'I1 - Universal Data'!$E$14:$V$14, 0)))</f>
        <v>1.62662132526732E-2</v>
      </c>
      <c r="F324" s="1113">
        <f>IF($A324&lt;DATE(2018,7,1),"-",INDEX('I1 - Universal Data'!$E$15:$V$15, MATCH(YEAR(EOMONTH($A324,6)), 'I1 - Universal Data'!$E$14:$V$14, 0)))</f>
        <v>2.4969908330546801E-2</v>
      </c>
      <c r="G324" s="1114">
        <f t="shared" si="29"/>
        <v>134.99100327325687</v>
      </c>
      <c r="H324" s="1114">
        <f t="shared" si="29"/>
        <v>397.11492722344758</v>
      </c>
      <c r="U324" s="1102"/>
    </row>
    <row r="325" spans="1:21">
      <c r="A325" s="1111">
        <f t="shared" si="26"/>
        <v>45991</v>
      </c>
      <c r="B325" s="1112">
        <f t="shared" si="24"/>
        <v>2026</v>
      </c>
      <c r="C325" s="1279"/>
      <c r="D325" s="1279"/>
      <c r="E325" s="1113">
        <f>IF($A325&lt;DATE(2018,7,1),"-",INDEX('I1 - Universal Data'!$E$16:$V$16, MATCH(YEAR(EOMONTH($A325,6)), 'I1 - Universal Data'!$E$14:$V$14, 0)))</f>
        <v>1.62662132526732E-2</v>
      </c>
      <c r="F325" s="1113">
        <f>IF($A325&lt;DATE(2018,7,1),"-",INDEX('I1 - Universal Data'!$E$15:$V$15, MATCH(YEAR(EOMONTH($A325,6)), 'I1 - Universal Data'!$E$14:$V$14, 0)))</f>
        <v>2.4969908330546801E-2</v>
      </c>
      <c r="G325" s="1114">
        <f t="shared" si="29"/>
        <v>135.17263578857697</v>
      </c>
      <c r="H325" s="1114">
        <f t="shared" si="29"/>
        <v>397.93194540692878</v>
      </c>
      <c r="U325" s="1102"/>
    </row>
    <row r="326" spans="1:21">
      <c r="A326" s="1111">
        <f t="shared" si="26"/>
        <v>46022</v>
      </c>
      <c r="B326" s="1112">
        <f t="shared" ref="B326:B389" si="30">IF(MONTH(A326)&gt;=4,YEAR(A326)+1,YEAR(A326))</f>
        <v>2026</v>
      </c>
      <c r="C326" s="1279"/>
      <c r="D326" s="1279"/>
      <c r="E326" s="1113">
        <f>IF($A326&lt;DATE(2018,7,1),"-",INDEX('I1 - Universal Data'!$E$16:$V$16, MATCH(YEAR(EOMONTH($A326,6)), 'I1 - Universal Data'!$E$14:$V$14, 0)))</f>
        <v>1.62662132526732E-2</v>
      </c>
      <c r="F326" s="1113">
        <f>IF($A326&lt;DATE(2018,7,1),"-",INDEX('I1 - Universal Data'!$E$15:$V$15, MATCH(YEAR(EOMONTH($A326,6)), 'I1 - Universal Data'!$E$14:$V$14, 0)))</f>
        <v>2.4969908330546801E-2</v>
      </c>
      <c r="G326" s="1114">
        <f t="shared" ref="G326:H341" si="31">IF(ISBLANK(C326),G325*((1+E326)^(1/12)),C326)</f>
        <v>135.35451269329948</v>
      </c>
      <c r="H326" s="1114">
        <f t="shared" si="31"/>
        <v>398.7506445111369</v>
      </c>
      <c r="U326" s="1102"/>
    </row>
    <row r="327" spans="1:21">
      <c r="A327" s="1111">
        <f t="shared" ref="A327:A390" si="32">IF(MONTH(A326) = 12, EOMONTH(DATE(YEAR(A326) + 1, 1, 1), 0), EOMONTH(DATE(YEAR(A326), MONTH(A326) + 1, 1), 0))</f>
        <v>46053</v>
      </c>
      <c r="B327" s="1112">
        <f t="shared" si="30"/>
        <v>2026</v>
      </c>
      <c r="C327" s="1279"/>
      <c r="D327" s="1279"/>
      <c r="E327" s="1113">
        <f>IF($A327&lt;DATE(2018,7,1),"-",INDEX('I1 - Universal Data'!$E$16:$V$16, MATCH(YEAR(EOMONTH($A327,6)), 'I1 - Universal Data'!$E$14:$V$14, 0)))</f>
        <v>1.62662132526732E-2</v>
      </c>
      <c r="F327" s="1113">
        <f>IF($A327&lt;DATE(2018,7,1),"-",INDEX('I1 - Universal Data'!$E$15:$V$15, MATCH(YEAR(EOMONTH($A327,6)), 'I1 - Universal Data'!$E$14:$V$14, 0)))</f>
        <v>2.4969908330546801E-2</v>
      </c>
      <c r="G327" s="1114">
        <f t="shared" si="31"/>
        <v>135.53663431625418</v>
      </c>
      <c r="H327" s="1114">
        <f t="shared" si="31"/>
        <v>399.57102799437257</v>
      </c>
      <c r="U327" s="1102"/>
    </row>
    <row r="328" spans="1:21">
      <c r="A328" s="1111">
        <f t="shared" si="32"/>
        <v>46081</v>
      </c>
      <c r="B328" s="1112">
        <f t="shared" si="30"/>
        <v>2026</v>
      </c>
      <c r="C328" s="1279"/>
      <c r="D328" s="1279"/>
      <c r="E328" s="1113">
        <f>IF($A328&lt;DATE(2018,7,1),"-",INDEX('I1 - Universal Data'!$E$16:$V$16, MATCH(YEAR(EOMONTH($A328,6)), 'I1 - Universal Data'!$E$14:$V$14, 0)))</f>
        <v>1.62662132526732E-2</v>
      </c>
      <c r="F328" s="1113">
        <f>IF($A328&lt;DATE(2018,7,1),"-",INDEX('I1 - Universal Data'!$E$15:$V$15, MATCH(YEAR(EOMONTH($A328,6)), 'I1 - Universal Data'!$E$14:$V$14, 0)))</f>
        <v>2.4969908330546801E-2</v>
      </c>
      <c r="G328" s="1114">
        <f t="shared" si="31"/>
        <v>135.7190009867133</v>
      </c>
      <c r="H328" s="1114">
        <f t="shared" si="31"/>
        <v>400.39309932205146</v>
      </c>
      <c r="U328" s="1102"/>
    </row>
    <row r="329" spans="1:21">
      <c r="A329" s="1111">
        <f t="shared" si="32"/>
        <v>46112</v>
      </c>
      <c r="B329" s="1112">
        <f t="shared" si="30"/>
        <v>2026</v>
      </c>
      <c r="C329" s="1279"/>
      <c r="D329" s="1279"/>
      <c r="E329" s="1113">
        <f>IF($A329&lt;DATE(2018,7,1),"-",INDEX('I1 - Universal Data'!$E$16:$V$16, MATCH(YEAR(EOMONTH($A329,6)), 'I1 - Universal Data'!$E$14:$V$14, 0)))</f>
        <v>1.62662132526732E-2</v>
      </c>
      <c r="F329" s="1113">
        <f>IF($A329&lt;DATE(2018,7,1),"-",INDEX('I1 - Universal Data'!$E$15:$V$15, MATCH(YEAR(EOMONTH($A329,6)), 'I1 - Universal Data'!$E$14:$V$14, 0)))</f>
        <v>2.4969908330546801E-2</v>
      </c>
      <c r="G329" s="1114">
        <f t="shared" si="31"/>
        <v>135.90161303439211</v>
      </c>
      <c r="H329" s="1114">
        <f t="shared" si="31"/>
        <v>401.21686196671891</v>
      </c>
      <c r="U329" s="1102"/>
    </row>
    <row r="330" spans="1:21">
      <c r="A330" s="1111">
        <f t="shared" si="32"/>
        <v>46142</v>
      </c>
      <c r="B330" s="1112">
        <f t="shared" si="30"/>
        <v>2027</v>
      </c>
      <c r="C330" s="1279"/>
      <c r="D330" s="1279"/>
      <c r="E330" s="1113">
        <f>IF($A330&lt;DATE(2018,7,1),"-",INDEX('I1 - Universal Data'!$E$16:$V$16, MATCH(YEAR(EOMONTH($A330,6)), 'I1 - Universal Data'!$E$14:$V$14, 0)))</f>
        <v>1.62662132526732E-2</v>
      </c>
      <c r="F330" s="1113">
        <f>IF($A330&lt;DATE(2018,7,1),"-",INDEX('I1 - Universal Data'!$E$15:$V$15, MATCH(YEAR(EOMONTH($A330,6)), 'I1 - Universal Data'!$E$14:$V$14, 0)))</f>
        <v>2.4969908330546801E-2</v>
      </c>
      <c r="G330" s="1114">
        <f t="shared" si="31"/>
        <v>136.08447078944951</v>
      </c>
      <c r="H330" s="1114">
        <f t="shared" si="31"/>
        <v>402.04231940806471</v>
      </c>
      <c r="U330" s="1102"/>
    </row>
    <row r="331" spans="1:21">
      <c r="A331" s="1111">
        <f t="shared" si="32"/>
        <v>46173</v>
      </c>
      <c r="B331" s="1112">
        <f t="shared" si="30"/>
        <v>2027</v>
      </c>
      <c r="C331" s="1279"/>
      <c r="D331" s="1279"/>
      <c r="E331" s="1113">
        <f>IF($A331&lt;DATE(2018,7,1),"-",INDEX('I1 - Universal Data'!$E$16:$V$16, MATCH(YEAR(EOMONTH($A331,6)), 'I1 - Universal Data'!$E$14:$V$14, 0)))</f>
        <v>1.62662132526732E-2</v>
      </c>
      <c r="F331" s="1113">
        <f>IF($A331&lt;DATE(2018,7,1),"-",INDEX('I1 - Universal Data'!$E$15:$V$15, MATCH(YEAR(EOMONTH($A331,6)), 'I1 - Universal Data'!$E$14:$V$14, 0)))</f>
        <v>2.4969908330546801E-2</v>
      </c>
      <c r="G331" s="1114">
        <f t="shared" si="31"/>
        <v>136.26757458248866</v>
      </c>
      <c r="H331" s="1114">
        <f t="shared" si="31"/>
        <v>402.86947513293762</v>
      </c>
      <c r="U331" s="1102"/>
    </row>
    <row r="332" spans="1:21">
      <c r="A332" s="1111">
        <f t="shared" si="32"/>
        <v>46203</v>
      </c>
      <c r="B332" s="1112">
        <f t="shared" si="30"/>
        <v>2027</v>
      </c>
      <c r="C332" s="1279"/>
      <c r="D332" s="1279"/>
      <c r="E332" s="1113">
        <f>IF($A332&lt;DATE(2018,7,1),"-",INDEX('I1 - Universal Data'!$E$16:$V$16, MATCH(YEAR(EOMONTH($A332,6)), 'I1 - Universal Data'!$E$14:$V$14, 0)))</f>
        <v>1.62662132526732E-2</v>
      </c>
      <c r="F332" s="1113">
        <f>IF($A332&lt;DATE(2018,7,1),"-",INDEX('I1 - Universal Data'!$E$15:$V$15, MATCH(YEAR(EOMONTH($A332,6)), 'I1 - Universal Data'!$E$14:$V$14, 0)))</f>
        <v>2.4969908330546801E-2</v>
      </c>
      <c r="G332" s="1114">
        <f t="shared" si="31"/>
        <v>136.45092474455751</v>
      </c>
      <c r="H332" s="1114">
        <f t="shared" si="31"/>
        <v>403.6983326353602</v>
      </c>
      <c r="U332" s="1102"/>
    </row>
    <row r="333" spans="1:21">
      <c r="A333" s="1111">
        <f t="shared" si="32"/>
        <v>46234</v>
      </c>
      <c r="B333" s="1112">
        <f t="shared" si="30"/>
        <v>2027</v>
      </c>
      <c r="C333" s="1279"/>
      <c r="D333" s="1279"/>
      <c r="E333" s="1113">
        <f>IF($A333&lt;DATE(2018,7,1),"-",INDEX('I1 - Universal Data'!$E$16:$V$16, MATCH(YEAR(EOMONTH($A333,6)), 'I1 - Universal Data'!$E$14:$V$14, 0)))</f>
        <v>0.02</v>
      </c>
      <c r="F333" s="1113">
        <f>IF($A333&lt;DATE(2018,7,1),"-",INDEX('I1 - Universal Data'!$E$15:$V$15, MATCH(YEAR(EOMONTH($A333,6)), 'I1 - Universal Data'!$E$14:$V$14, 0)))</f>
        <v>0.03</v>
      </c>
      <c r="G333" s="1114">
        <f t="shared" si="31"/>
        <v>136.67628454049535</v>
      </c>
      <c r="H333" s="1114">
        <f t="shared" si="31"/>
        <v>404.69396163026818</v>
      </c>
      <c r="U333" s="1102"/>
    </row>
    <row r="334" spans="1:21">
      <c r="A334" s="1111">
        <f t="shared" si="32"/>
        <v>46265</v>
      </c>
      <c r="B334" s="1112">
        <f t="shared" si="30"/>
        <v>2027</v>
      </c>
      <c r="C334" s="1279"/>
      <c r="D334" s="1279"/>
      <c r="E334" s="1113">
        <f>IF($A334&lt;DATE(2018,7,1),"-",INDEX('I1 - Universal Data'!$E$16:$V$16, MATCH(YEAR(EOMONTH($A334,6)), 'I1 - Universal Data'!$E$14:$V$14, 0)))</f>
        <v>0.02</v>
      </c>
      <c r="F334" s="1113">
        <f>IF($A334&lt;DATE(2018,7,1),"-",INDEX('I1 - Universal Data'!$E$15:$V$15, MATCH(YEAR(EOMONTH($A334,6)), 'I1 - Universal Data'!$E$14:$V$14, 0)))</f>
        <v>0.03</v>
      </c>
      <c r="G334" s="1114">
        <f t="shared" si="31"/>
        <v>136.90201653645835</v>
      </c>
      <c r="H334" s="1114">
        <f t="shared" si="31"/>
        <v>405.69204611487072</v>
      </c>
      <c r="U334" s="1102"/>
    </row>
    <row r="335" spans="1:21">
      <c r="A335" s="1111">
        <f t="shared" si="32"/>
        <v>46295</v>
      </c>
      <c r="B335" s="1112">
        <f t="shared" si="30"/>
        <v>2027</v>
      </c>
      <c r="C335" s="1279"/>
      <c r="D335" s="1279"/>
      <c r="E335" s="1113">
        <f>IF($A335&lt;DATE(2018,7,1),"-",INDEX('I1 - Universal Data'!$E$16:$V$16, MATCH(YEAR(EOMONTH($A335,6)), 'I1 - Universal Data'!$E$14:$V$14, 0)))</f>
        <v>0.02</v>
      </c>
      <c r="F335" s="1113">
        <f>IF($A335&lt;DATE(2018,7,1),"-",INDEX('I1 - Universal Data'!$E$15:$V$15, MATCH(YEAR(EOMONTH($A335,6)), 'I1 - Universal Data'!$E$14:$V$14, 0)))</f>
        <v>0.03</v>
      </c>
      <c r="G335" s="1114">
        <f t="shared" si="31"/>
        <v>137.12812134716515</v>
      </c>
      <c r="H335" s="1114">
        <f t="shared" si="31"/>
        <v>406.69259214506786</v>
      </c>
      <c r="U335" s="1102"/>
    </row>
    <row r="336" spans="1:21">
      <c r="A336" s="1111">
        <f t="shared" si="32"/>
        <v>46326</v>
      </c>
      <c r="B336" s="1112">
        <f t="shared" si="30"/>
        <v>2027</v>
      </c>
      <c r="C336" s="1279"/>
      <c r="D336" s="1279"/>
      <c r="E336" s="1113">
        <f>IF($A336&lt;DATE(2018,7,1),"-",INDEX('I1 - Universal Data'!$E$16:$V$16, MATCH(YEAR(EOMONTH($A336,6)), 'I1 - Universal Data'!$E$14:$V$14, 0)))</f>
        <v>0.02</v>
      </c>
      <c r="F336" s="1113">
        <f>IF($A336&lt;DATE(2018,7,1),"-",INDEX('I1 - Universal Data'!$E$15:$V$15, MATCH(YEAR(EOMONTH($A336,6)), 'I1 - Universal Data'!$E$14:$V$14, 0)))</f>
        <v>0.03</v>
      </c>
      <c r="G336" s="1114">
        <f t="shared" si="31"/>
        <v>137.35459958834957</v>
      </c>
      <c r="H336" s="1114">
        <f t="shared" si="31"/>
        <v>407.69560579169507</v>
      </c>
      <c r="U336" s="1102"/>
    </row>
    <row r="337" spans="1:21">
      <c r="A337" s="1111">
        <f t="shared" si="32"/>
        <v>46356</v>
      </c>
      <c r="B337" s="1112">
        <f t="shared" si="30"/>
        <v>2027</v>
      </c>
      <c r="C337" s="1279"/>
      <c r="D337" s="1279"/>
      <c r="E337" s="1113">
        <f>IF($A337&lt;DATE(2018,7,1),"-",INDEX('I1 - Universal Data'!$E$16:$V$16, MATCH(YEAR(EOMONTH($A337,6)), 'I1 - Universal Data'!$E$14:$V$14, 0)))</f>
        <v>0.02</v>
      </c>
      <c r="F337" s="1113">
        <f>IF($A337&lt;DATE(2018,7,1),"-",INDEX('I1 - Universal Data'!$E$15:$V$15, MATCH(YEAR(EOMONTH($A337,6)), 'I1 - Universal Data'!$E$14:$V$14, 0)))</f>
        <v>0.03</v>
      </c>
      <c r="G337" s="1114">
        <f t="shared" si="31"/>
        <v>137.58145187676243</v>
      </c>
      <c r="H337" s="1114">
        <f t="shared" si="31"/>
        <v>408.70109314056015</v>
      </c>
      <c r="U337" s="1102"/>
    </row>
    <row r="338" spans="1:21">
      <c r="A338" s="1111">
        <f t="shared" si="32"/>
        <v>46387</v>
      </c>
      <c r="B338" s="1112">
        <f t="shared" si="30"/>
        <v>2027</v>
      </c>
      <c r="C338" s="1279"/>
      <c r="D338" s="1279"/>
      <c r="E338" s="1113">
        <f>IF($A338&lt;DATE(2018,7,1),"-",INDEX('I1 - Universal Data'!$E$16:$V$16, MATCH(YEAR(EOMONTH($A338,6)), 'I1 - Universal Data'!$E$14:$V$14, 0)))</f>
        <v>0.02</v>
      </c>
      <c r="F338" s="1113">
        <f>IF($A338&lt;DATE(2018,7,1),"-",INDEX('I1 - Universal Data'!$E$15:$V$15, MATCH(YEAR(EOMONTH($A338,6)), 'I1 - Universal Data'!$E$14:$V$14, 0)))</f>
        <v>0.03</v>
      </c>
      <c r="G338" s="1114">
        <f t="shared" si="31"/>
        <v>137.80867883017314</v>
      </c>
      <c r="H338" s="1114">
        <f t="shared" si="31"/>
        <v>409.70906029248016</v>
      </c>
      <c r="U338" s="1102"/>
    </row>
    <row r="339" spans="1:21">
      <c r="A339" s="1111">
        <f t="shared" si="32"/>
        <v>46418</v>
      </c>
      <c r="B339" s="1112">
        <f t="shared" si="30"/>
        <v>2027</v>
      </c>
      <c r="C339" s="1279"/>
      <c r="D339" s="1279"/>
      <c r="E339" s="1113">
        <f>IF($A339&lt;DATE(2018,7,1),"-",INDEX('I1 - Universal Data'!$E$16:$V$16, MATCH(YEAR(EOMONTH($A339,6)), 'I1 - Universal Data'!$E$14:$V$14, 0)))</f>
        <v>0.02</v>
      </c>
      <c r="F339" s="1113">
        <f>IF($A339&lt;DATE(2018,7,1),"-",INDEX('I1 - Universal Data'!$E$15:$V$15, MATCH(YEAR(EOMONTH($A339,6)), 'I1 - Universal Data'!$E$14:$V$14, 0)))</f>
        <v>0.03</v>
      </c>
      <c r="G339" s="1114">
        <f t="shared" si="31"/>
        <v>138.03628106737139</v>
      </c>
      <c r="H339" s="1114">
        <f t="shared" si="31"/>
        <v>410.71951336331847</v>
      </c>
    </row>
    <row r="340" spans="1:21">
      <c r="A340" s="1111">
        <f t="shared" si="32"/>
        <v>46446</v>
      </c>
      <c r="B340" s="1112">
        <f t="shared" si="30"/>
        <v>2027</v>
      </c>
      <c r="C340" s="1279"/>
      <c r="D340" s="1279"/>
      <c r="E340" s="1113">
        <f>IF($A340&lt;DATE(2018,7,1),"-",INDEX('I1 - Universal Data'!$E$16:$V$16, MATCH(YEAR(EOMONTH($A340,6)), 'I1 - Universal Data'!$E$14:$V$14, 0)))</f>
        <v>0.02</v>
      </c>
      <c r="F340" s="1113">
        <f>IF($A340&lt;DATE(2018,7,1),"-",INDEX('I1 - Universal Data'!$E$15:$V$15, MATCH(YEAR(EOMONTH($A340,6)), 'I1 - Universal Data'!$E$14:$V$14, 0)))</f>
        <v>0.03</v>
      </c>
      <c r="G340" s="1114">
        <f t="shared" si="31"/>
        <v>138.26425920816885</v>
      </c>
      <c r="H340" s="1114">
        <f t="shared" si="31"/>
        <v>411.73245848402172</v>
      </c>
    </row>
    <row r="341" spans="1:21" s="412" customFormat="1">
      <c r="A341" s="1111">
        <f t="shared" si="32"/>
        <v>46477</v>
      </c>
      <c r="B341" s="1112">
        <f t="shared" si="30"/>
        <v>2027</v>
      </c>
      <c r="C341" s="1279"/>
      <c r="D341" s="1279"/>
      <c r="E341" s="1113">
        <f>IF($A341&lt;DATE(2018,7,1),"-",INDEX('I1 - Universal Data'!$E$16:$V$16, MATCH(YEAR(EOMONTH($A341,6)), 'I1 - Universal Data'!$E$14:$V$14, 0)))</f>
        <v>0.02</v>
      </c>
      <c r="F341" s="1113">
        <f>IF($A341&lt;DATE(2018,7,1),"-",INDEX('I1 - Universal Data'!$E$15:$V$15, MATCH(YEAR(EOMONTH($A341,6)), 'I1 - Universal Data'!$E$14:$V$14, 0)))</f>
        <v>0.03</v>
      </c>
      <c r="G341" s="1114">
        <f t="shared" si="31"/>
        <v>138.49261387340093</v>
      </c>
      <c r="H341" s="1114">
        <f t="shared" si="31"/>
        <v>412.74790180065713</v>
      </c>
      <c r="T341" s="114"/>
      <c r="U341" s="411"/>
    </row>
    <row r="342" spans="1:21" s="412" customFormat="1">
      <c r="A342" s="1111">
        <f t="shared" si="32"/>
        <v>46507</v>
      </c>
      <c r="B342" s="1112">
        <f t="shared" si="30"/>
        <v>2028</v>
      </c>
      <c r="C342" s="1279"/>
      <c r="D342" s="1279"/>
      <c r="E342" s="1113">
        <f>IF($A342&lt;DATE(2018,7,1),"-",INDEX('I1 - Universal Data'!$E$16:$V$16, MATCH(YEAR(EOMONTH($A342,6)), 'I1 - Universal Data'!$E$14:$V$14, 0)))</f>
        <v>0.02</v>
      </c>
      <c r="F342" s="1113">
        <f>IF($A342&lt;DATE(2018,7,1),"-",INDEX('I1 - Universal Data'!$E$15:$V$15, MATCH(YEAR(EOMONTH($A342,6)), 'I1 - Universal Data'!$E$14:$V$14, 0)))</f>
        <v>0.03</v>
      </c>
      <c r="G342" s="1114">
        <f t="shared" ref="G342:H357" si="33">IF(ISBLANK(C342),G341*((1+E342)^(1/12)),C342)</f>
        <v>138.72134568492828</v>
      </c>
      <c r="H342" s="1114">
        <f t="shared" si="33"/>
        <v>413.76584947444985</v>
      </c>
      <c r="T342" s="114"/>
      <c r="U342" s="411"/>
    </row>
    <row r="343" spans="1:21" s="412" customFormat="1">
      <c r="A343" s="1111">
        <f t="shared" si="32"/>
        <v>46538</v>
      </c>
      <c r="B343" s="1112">
        <f t="shared" si="30"/>
        <v>2028</v>
      </c>
      <c r="C343" s="1279"/>
      <c r="D343" s="1279"/>
      <c r="E343" s="1113">
        <f>IF($A343&lt;DATE(2018,7,1),"-",INDEX('I1 - Universal Data'!$E$16:$V$16, MATCH(YEAR(EOMONTH($A343,6)), 'I1 - Universal Data'!$E$14:$V$14, 0)))</f>
        <v>0.02</v>
      </c>
      <c r="F343" s="1113">
        <f>IF($A343&lt;DATE(2018,7,1),"-",INDEX('I1 - Universal Data'!$E$15:$V$15, MATCH(YEAR(EOMONTH($A343,6)), 'I1 - Universal Data'!$E$14:$V$14, 0)))</f>
        <v>0.03</v>
      </c>
      <c r="G343" s="1114">
        <f t="shared" si="33"/>
        <v>138.95045526563871</v>
      </c>
      <c r="H343" s="1114">
        <f t="shared" si="33"/>
        <v>414.78630768182023</v>
      </c>
      <c r="T343" s="114"/>
      <c r="U343" s="411"/>
    </row>
    <row r="344" spans="1:21" s="412" customFormat="1">
      <c r="A344" s="1111">
        <f t="shared" si="32"/>
        <v>46568</v>
      </c>
      <c r="B344" s="1112">
        <f t="shared" si="30"/>
        <v>2028</v>
      </c>
      <c r="C344" s="1279"/>
      <c r="D344" s="1279"/>
      <c r="E344" s="1113">
        <f>IF($A344&lt;DATE(2018,7,1),"-",INDEX('I1 - Universal Data'!$E$16:$V$16, MATCH(YEAR(EOMONTH($A344,6)), 'I1 - Universal Data'!$E$14:$V$14, 0)))</f>
        <v>0.02</v>
      </c>
      <c r="F344" s="1113">
        <f>IF($A344&lt;DATE(2018,7,1),"-",INDEX('I1 - Universal Data'!$E$15:$V$15, MATCH(YEAR(EOMONTH($A344,6)), 'I1 - Universal Data'!$E$14:$V$14, 0)))</f>
        <v>0.03</v>
      </c>
      <c r="G344" s="1114">
        <f t="shared" si="33"/>
        <v>139.17994323944873</v>
      </c>
      <c r="H344" s="1114">
        <f t="shared" si="33"/>
        <v>415.80928261442136</v>
      </c>
      <c r="T344" s="114"/>
      <c r="U344" s="411"/>
    </row>
    <row r="345" spans="1:21" s="412" customFormat="1">
      <c r="A345" s="1111">
        <f t="shared" si="32"/>
        <v>46599</v>
      </c>
      <c r="B345" s="1112">
        <f t="shared" si="30"/>
        <v>2028</v>
      </c>
      <c r="C345" s="1279"/>
      <c r="D345" s="1279"/>
      <c r="E345" s="1113">
        <f>IF($A345&lt;DATE(2018,7,1),"-",INDEX('I1 - Universal Data'!$E$16:$V$16, MATCH(YEAR(EOMONTH($A345,6)), 'I1 - Universal Data'!$E$14:$V$14, 0)))</f>
        <v>0.02</v>
      </c>
      <c r="F345" s="1113">
        <f>IF($A345&lt;DATE(2018,7,1),"-",INDEX('I1 - Universal Data'!$E$15:$V$15, MATCH(YEAR(EOMONTH($A345,6)), 'I1 - Universal Data'!$E$14:$V$14, 0)))</f>
        <v>0.03</v>
      </c>
      <c r="G345" s="1114">
        <f t="shared" si="33"/>
        <v>139.40981023130533</v>
      </c>
      <c r="H345" s="1114">
        <f t="shared" si="33"/>
        <v>416.83478047917657</v>
      </c>
      <c r="T345" s="114"/>
      <c r="U345" s="411"/>
    </row>
    <row r="346" spans="1:21" s="412" customFormat="1">
      <c r="A346" s="1111">
        <f t="shared" si="32"/>
        <v>46630</v>
      </c>
      <c r="B346" s="1112">
        <f t="shared" si="30"/>
        <v>2028</v>
      </c>
      <c r="C346" s="1279"/>
      <c r="D346" s="1279"/>
      <c r="E346" s="1113">
        <f>IF($A346&lt;DATE(2018,7,1),"-",INDEX('I1 - Universal Data'!$E$16:$V$16, MATCH(YEAR(EOMONTH($A346,6)), 'I1 - Universal Data'!$E$14:$V$14, 0)))</f>
        <v>0.02</v>
      </c>
      <c r="F346" s="1113">
        <f>IF($A346&lt;DATE(2018,7,1),"-",INDEX('I1 - Universal Data'!$E$15:$V$15, MATCH(YEAR(EOMONTH($A346,6)), 'I1 - Universal Data'!$E$14:$V$14, 0)))</f>
        <v>0.03</v>
      </c>
      <c r="G346" s="1114">
        <f t="shared" si="33"/>
        <v>139.64005686718761</v>
      </c>
      <c r="H346" s="1114">
        <f t="shared" si="33"/>
        <v>417.86280749831718</v>
      </c>
      <c r="T346" s="114"/>
      <c r="U346" s="411"/>
    </row>
    <row r="347" spans="1:21" s="412" customFormat="1">
      <c r="A347" s="1111">
        <f t="shared" si="32"/>
        <v>46660</v>
      </c>
      <c r="B347" s="1112">
        <f t="shared" si="30"/>
        <v>2028</v>
      </c>
      <c r="C347" s="1279"/>
      <c r="D347" s="1279"/>
      <c r="E347" s="1113">
        <f>IF($A347&lt;DATE(2018,7,1),"-",INDEX('I1 - Universal Data'!$E$16:$V$16, MATCH(YEAR(EOMONTH($A347,6)), 'I1 - Universal Data'!$E$14:$V$14, 0)))</f>
        <v>0.02</v>
      </c>
      <c r="F347" s="1113">
        <f>IF($A347&lt;DATE(2018,7,1),"-",INDEX('I1 - Universal Data'!$E$15:$V$15, MATCH(YEAR(EOMONTH($A347,6)), 'I1 - Universal Data'!$E$14:$V$14, 0)))</f>
        <v>0.03</v>
      </c>
      <c r="G347" s="1114">
        <f t="shared" si="33"/>
        <v>139.87068377410853</v>
      </c>
      <c r="H347" s="1114">
        <f t="shared" si="33"/>
        <v>418.89336990942024</v>
      </c>
      <c r="T347" s="114"/>
      <c r="U347" s="411"/>
    </row>
    <row r="348" spans="1:21" s="412" customFormat="1">
      <c r="A348" s="1111">
        <f t="shared" si="32"/>
        <v>46691</v>
      </c>
      <c r="B348" s="1112">
        <f t="shared" si="30"/>
        <v>2028</v>
      </c>
      <c r="C348" s="1279"/>
      <c r="D348" s="1279"/>
      <c r="E348" s="1113">
        <f>IF($A348&lt;DATE(2018,7,1),"-",INDEX('I1 - Universal Data'!$E$16:$V$16, MATCH(YEAR(EOMONTH($A348,6)), 'I1 - Universal Data'!$E$14:$V$14, 0)))</f>
        <v>0.02</v>
      </c>
      <c r="F348" s="1113">
        <f>IF($A348&lt;DATE(2018,7,1),"-",INDEX('I1 - Universal Data'!$E$15:$V$15, MATCH(YEAR(EOMONTH($A348,6)), 'I1 - Universal Data'!$E$14:$V$14, 0)))</f>
        <v>0.03</v>
      </c>
      <c r="G348" s="1114">
        <f t="shared" si="33"/>
        <v>140.10169158011664</v>
      </c>
      <c r="H348" s="1114">
        <f t="shared" si="33"/>
        <v>419.92647396544629</v>
      </c>
      <c r="T348" s="114"/>
      <c r="U348" s="411"/>
    </row>
    <row r="349" spans="1:21" s="412" customFormat="1">
      <c r="A349" s="1111">
        <f t="shared" si="32"/>
        <v>46721</v>
      </c>
      <c r="B349" s="1112">
        <f t="shared" si="30"/>
        <v>2028</v>
      </c>
      <c r="C349" s="1279"/>
      <c r="D349" s="1279"/>
      <c r="E349" s="1113">
        <f>IF($A349&lt;DATE(2018,7,1),"-",INDEX('I1 - Universal Data'!$E$16:$V$16, MATCH(YEAR(EOMONTH($A349,6)), 'I1 - Universal Data'!$E$14:$V$14, 0)))</f>
        <v>0.02</v>
      </c>
      <c r="F349" s="1113">
        <f>IF($A349&lt;DATE(2018,7,1),"-",INDEX('I1 - Universal Data'!$E$15:$V$15, MATCH(YEAR(EOMONTH($A349,6)), 'I1 - Universal Data'!$E$14:$V$14, 0)))</f>
        <v>0.03</v>
      </c>
      <c r="G349" s="1114">
        <f t="shared" si="33"/>
        <v>140.33308091429774</v>
      </c>
      <c r="H349" s="1114">
        <f t="shared" si="33"/>
        <v>420.96212593477736</v>
      </c>
      <c r="T349" s="114"/>
      <c r="U349" s="411"/>
    </row>
    <row r="350" spans="1:21" s="412" customFormat="1">
      <c r="A350" s="1111">
        <f t="shared" si="32"/>
        <v>46752</v>
      </c>
      <c r="B350" s="1112">
        <f t="shared" si="30"/>
        <v>2028</v>
      </c>
      <c r="C350" s="1279"/>
      <c r="D350" s="1279"/>
      <c r="E350" s="1113">
        <f>IF($A350&lt;DATE(2018,7,1),"-",INDEX('I1 - Universal Data'!$E$16:$V$16, MATCH(YEAR(EOMONTH($A350,6)), 'I1 - Universal Data'!$E$14:$V$14, 0)))</f>
        <v>0.02</v>
      </c>
      <c r="F350" s="1113">
        <f>IF($A350&lt;DATE(2018,7,1),"-",INDEX('I1 - Universal Data'!$E$15:$V$15, MATCH(YEAR(EOMONTH($A350,6)), 'I1 - Universal Data'!$E$14:$V$14, 0)))</f>
        <v>0.03</v>
      </c>
      <c r="G350" s="1114">
        <f t="shared" si="33"/>
        <v>140.56485240677665</v>
      </c>
      <c r="H350" s="1114">
        <f t="shared" si="33"/>
        <v>422.00033210125503</v>
      </c>
      <c r="T350" s="114"/>
      <c r="U350" s="411"/>
    </row>
    <row r="351" spans="1:21" s="412" customFormat="1">
      <c r="A351" s="1111">
        <f t="shared" si="32"/>
        <v>46783</v>
      </c>
      <c r="B351" s="1112">
        <f t="shared" si="30"/>
        <v>2028</v>
      </c>
      <c r="C351" s="1279"/>
      <c r="D351" s="1279"/>
      <c r="E351" s="1113">
        <f>IF($A351&lt;DATE(2018,7,1),"-",INDEX('I1 - Universal Data'!$E$16:$V$16, MATCH(YEAR(EOMONTH($A351,6)), 'I1 - Universal Data'!$E$14:$V$14, 0)))</f>
        <v>0.02</v>
      </c>
      <c r="F351" s="1113">
        <f>IF($A351&lt;DATE(2018,7,1),"-",INDEX('I1 - Universal Data'!$E$15:$V$15, MATCH(YEAR(EOMONTH($A351,6)), 'I1 - Universal Data'!$E$14:$V$14, 0)))</f>
        <v>0.03</v>
      </c>
      <c r="G351" s="1114">
        <f t="shared" si="33"/>
        <v>140.79700668871885</v>
      </c>
      <c r="H351" s="1114">
        <f t="shared" si="33"/>
        <v>423.04109876421848</v>
      </c>
      <c r="T351" s="114"/>
      <c r="U351" s="411"/>
    </row>
    <row r="352" spans="1:21" s="412" customFormat="1">
      <c r="A352" s="1111">
        <f t="shared" si="32"/>
        <v>46812</v>
      </c>
      <c r="B352" s="1112">
        <f t="shared" si="30"/>
        <v>2028</v>
      </c>
      <c r="C352" s="1279"/>
      <c r="D352" s="1279"/>
      <c r="E352" s="1113">
        <f>IF($A352&lt;DATE(2018,7,1),"-",INDEX('I1 - Universal Data'!$E$16:$V$16, MATCH(YEAR(EOMONTH($A352,6)), 'I1 - Universal Data'!$E$14:$V$14, 0)))</f>
        <v>0.02</v>
      </c>
      <c r="F352" s="1113">
        <f>IF($A352&lt;DATE(2018,7,1),"-",INDEX('I1 - Universal Data'!$E$15:$V$15, MATCH(YEAR(EOMONTH($A352,6)), 'I1 - Universal Data'!$E$14:$V$14, 0)))</f>
        <v>0.03</v>
      </c>
      <c r="G352" s="1114">
        <f t="shared" si="33"/>
        <v>141.02954439233227</v>
      </c>
      <c r="H352" s="1114">
        <f t="shared" si="33"/>
        <v>424.08443223854283</v>
      </c>
      <c r="T352" s="114"/>
      <c r="U352" s="411"/>
    </row>
    <row r="353" spans="1:21" s="412" customFormat="1">
      <c r="A353" s="1111">
        <f t="shared" si="32"/>
        <v>46843</v>
      </c>
      <c r="B353" s="1112">
        <f t="shared" si="30"/>
        <v>2028</v>
      </c>
      <c r="C353" s="1279"/>
      <c r="D353" s="1279"/>
      <c r="E353" s="1113">
        <f>IF($A353&lt;DATE(2018,7,1),"-",INDEX('I1 - Universal Data'!$E$16:$V$16, MATCH(YEAR(EOMONTH($A353,6)), 'I1 - Universal Data'!$E$14:$V$14, 0)))</f>
        <v>0.02</v>
      </c>
      <c r="F353" s="1113">
        <f>IF($A353&lt;DATE(2018,7,1),"-",INDEX('I1 - Universal Data'!$E$15:$V$15, MATCH(YEAR(EOMONTH($A353,6)), 'I1 - Universal Data'!$E$14:$V$14, 0)))</f>
        <v>0.03</v>
      </c>
      <c r="G353" s="1114">
        <f t="shared" si="33"/>
        <v>141.26246615086896</v>
      </c>
      <c r="H353" s="1114">
        <f t="shared" si="33"/>
        <v>425.13033885467735</v>
      </c>
      <c r="T353" s="114"/>
      <c r="U353" s="411"/>
    </row>
    <row r="354" spans="1:21" s="412" customFormat="1">
      <c r="A354" s="1111">
        <f t="shared" si="32"/>
        <v>46873</v>
      </c>
      <c r="B354" s="1112">
        <f t="shared" si="30"/>
        <v>2029</v>
      </c>
      <c r="C354" s="1279"/>
      <c r="D354" s="1279"/>
      <c r="E354" s="1113">
        <f>IF($A354&lt;DATE(2018,7,1),"-",INDEX('I1 - Universal Data'!$E$16:$V$16, MATCH(YEAR(EOMONTH($A354,6)), 'I1 - Universal Data'!$E$14:$V$14, 0)))</f>
        <v>0.02</v>
      </c>
      <c r="F354" s="1113">
        <f>IF($A354&lt;DATE(2018,7,1),"-",INDEX('I1 - Universal Data'!$E$15:$V$15, MATCH(YEAR(EOMONTH($A354,6)), 'I1 - Universal Data'!$E$14:$V$14, 0)))</f>
        <v>0.03</v>
      </c>
      <c r="G354" s="1114">
        <f t="shared" si="33"/>
        <v>141.49577259862687</v>
      </c>
      <c r="H354" s="1114">
        <f t="shared" si="33"/>
        <v>426.17882495868389</v>
      </c>
      <c r="T354" s="114"/>
      <c r="U354" s="411"/>
    </row>
    <row r="355" spans="1:21" s="412" customFormat="1">
      <c r="A355" s="1111">
        <f t="shared" si="32"/>
        <v>46904</v>
      </c>
      <c r="B355" s="1112">
        <f t="shared" si="30"/>
        <v>2029</v>
      </c>
      <c r="C355" s="1279"/>
      <c r="D355" s="1279"/>
      <c r="E355" s="1113">
        <f>IF($A355&lt;DATE(2018,7,1),"-",INDEX('I1 - Universal Data'!$E$16:$V$16, MATCH(YEAR(EOMONTH($A355,6)), 'I1 - Universal Data'!$E$14:$V$14, 0)))</f>
        <v>0.02</v>
      </c>
      <c r="F355" s="1113">
        <f>IF($A355&lt;DATE(2018,7,1),"-",INDEX('I1 - Universal Data'!$E$15:$V$15, MATCH(YEAR(EOMONTH($A355,6)), 'I1 - Universal Data'!$E$14:$V$14, 0)))</f>
        <v>0.03</v>
      </c>
      <c r="G355" s="1114">
        <f t="shared" si="33"/>
        <v>141.72946437095152</v>
      </c>
      <c r="H355" s="1114">
        <f t="shared" si="33"/>
        <v>427.22989691227542</v>
      </c>
      <c r="T355" s="114"/>
      <c r="U355" s="411"/>
    </row>
    <row r="356" spans="1:21" s="412" customFormat="1">
      <c r="A356" s="1111">
        <f t="shared" si="32"/>
        <v>46934</v>
      </c>
      <c r="B356" s="1112">
        <f t="shared" si="30"/>
        <v>2029</v>
      </c>
      <c r="C356" s="1279"/>
      <c r="D356" s="1279"/>
      <c r="E356" s="1113">
        <f>IF($A356&lt;DATE(2018,7,1),"-",INDEX('I1 - Universal Data'!$E$16:$V$16, MATCH(YEAR(EOMONTH($A356,6)), 'I1 - Universal Data'!$E$14:$V$14, 0)))</f>
        <v>0.02</v>
      </c>
      <c r="F356" s="1113">
        <f>IF($A356&lt;DATE(2018,7,1),"-",INDEX('I1 - Universal Data'!$E$15:$V$15, MATCH(YEAR(EOMONTH($A356,6)), 'I1 - Universal Data'!$E$14:$V$14, 0)))</f>
        <v>0.03</v>
      </c>
      <c r="G356" s="1114">
        <f t="shared" si="33"/>
        <v>141.96354210423775</v>
      </c>
      <c r="H356" s="1114">
        <f t="shared" si="33"/>
        <v>428.2835610928546</v>
      </c>
      <c r="T356" s="114"/>
      <c r="U356" s="411"/>
    </row>
    <row r="357" spans="1:21">
      <c r="A357" s="1111">
        <f t="shared" si="32"/>
        <v>46965</v>
      </c>
      <c r="B357" s="1112">
        <f t="shared" si="30"/>
        <v>2029</v>
      </c>
      <c r="C357" s="1279"/>
      <c r="D357" s="1279"/>
      <c r="E357" s="1113">
        <f>IF($A357&lt;DATE(2018,7,1),"-",INDEX('I1 - Universal Data'!$E$16:$V$16, MATCH(YEAR(EOMONTH($A357,6)), 'I1 - Universal Data'!$E$14:$V$14, 0)))</f>
        <v>0.02</v>
      </c>
      <c r="F357" s="1113">
        <f>IF($A357&lt;DATE(2018,7,1),"-",INDEX('I1 - Universal Data'!$E$15:$V$15, MATCH(YEAR(EOMONTH($A357,6)), 'I1 - Universal Data'!$E$14:$V$14, 0)))</f>
        <v>0.03</v>
      </c>
      <c r="G357" s="1114">
        <f t="shared" si="33"/>
        <v>142.19800643593146</v>
      </c>
      <c r="H357" s="1114">
        <f t="shared" si="33"/>
        <v>429.33982389355248</v>
      </c>
    </row>
    <row r="358" spans="1:21">
      <c r="A358" s="1111">
        <f t="shared" si="32"/>
        <v>46996</v>
      </c>
      <c r="B358" s="1112">
        <f t="shared" si="30"/>
        <v>2029</v>
      </c>
      <c r="C358" s="1279"/>
      <c r="D358" s="1279"/>
      <c r="E358" s="1113">
        <f>IF($A358&lt;DATE(2018,7,1),"-",INDEX('I1 - Universal Data'!$E$16:$V$16, MATCH(YEAR(EOMONTH($A358,6)), 'I1 - Universal Data'!$E$14:$V$14, 0)))</f>
        <v>0.02</v>
      </c>
      <c r="F358" s="1113">
        <f>IF($A358&lt;DATE(2018,7,1),"-",INDEX('I1 - Universal Data'!$E$15:$V$15, MATCH(YEAR(EOMONTH($A358,6)), 'I1 - Universal Data'!$E$14:$V$14, 0)))</f>
        <v>0.03</v>
      </c>
      <c r="G358" s="1114">
        <f t="shared" ref="G358:H373" si="34">IF(ISBLANK(C358),G357*((1+E358)^(1/12)),C358)</f>
        <v>142.43285800453137</v>
      </c>
      <c r="H358" s="1114">
        <f t="shared" si="34"/>
        <v>430.39869172326735</v>
      </c>
    </row>
    <row r="359" spans="1:21">
      <c r="A359" s="1111">
        <f t="shared" si="32"/>
        <v>47026</v>
      </c>
      <c r="B359" s="1112">
        <f t="shared" si="30"/>
        <v>2029</v>
      </c>
      <c r="C359" s="1279"/>
      <c r="D359" s="1279"/>
      <c r="E359" s="1113">
        <f>IF($A359&lt;DATE(2018,7,1),"-",INDEX('I1 - Universal Data'!$E$16:$V$16, MATCH(YEAR(EOMONTH($A359,6)), 'I1 - Universal Data'!$E$14:$V$14, 0)))</f>
        <v>0.02</v>
      </c>
      <c r="F359" s="1113">
        <f>IF($A359&lt;DATE(2018,7,1),"-",INDEX('I1 - Universal Data'!$E$15:$V$15, MATCH(YEAR(EOMONTH($A359,6)), 'I1 - Universal Data'!$E$14:$V$14, 0)))</f>
        <v>0.03</v>
      </c>
      <c r="G359" s="1114">
        <f t="shared" si="34"/>
        <v>142.6680974495907</v>
      </c>
      <c r="H359" s="1114">
        <f t="shared" si="34"/>
        <v>431.46017100670349</v>
      </c>
    </row>
    <row r="360" spans="1:21">
      <c r="A360" s="1111">
        <f t="shared" si="32"/>
        <v>47057</v>
      </c>
      <c r="B360" s="1112">
        <f t="shared" si="30"/>
        <v>2029</v>
      </c>
      <c r="C360" s="1279"/>
      <c r="D360" s="1279"/>
      <c r="E360" s="1113">
        <f>IF($A360&lt;DATE(2018,7,1),"-",INDEX('I1 - Universal Data'!$E$16:$V$16, MATCH(YEAR(EOMONTH($A360,6)), 'I1 - Universal Data'!$E$14:$V$14, 0)))</f>
        <v>0.02</v>
      </c>
      <c r="F360" s="1113">
        <f>IF($A360&lt;DATE(2018,7,1),"-",INDEX('I1 - Universal Data'!$E$15:$V$15, MATCH(YEAR(EOMONTH($A360,6)), 'I1 - Universal Data'!$E$14:$V$14, 0)))</f>
        <v>0.03</v>
      </c>
      <c r="G360" s="1114">
        <f t="shared" si="34"/>
        <v>142.90372541171897</v>
      </c>
      <c r="H360" s="1114">
        <f t="shared" si="34"/>
        <v>432.52426818441029</v>
      </c>
    </row>
    <row r="361" spans="1:21">
      <c r="A361" s="1111">
        <f t="shared" si="32"/>
        <v>47087</v>
      </c>
      <c r="B361" s="1112">
        <f t="shared" si="30"/>
        <v>2029</v>
      </c>
      <c r="C361" s="1279"/>
      <c r="D361" s="1279"/>
      <c r="E361" s="1113">
        <f>IF($A361&lt;DATE(2018,7,1),"-",INDEX('I1 - Universal Data'!$E$16:$V$16, MATCH(YEAR(EOMONTH($A361,6)), 'I1 - Universal Data'!$E$14:$V$14, 0)))</f>
        <v>0.02</v>
      </c>
      <c r="F361" s="1113">
        <f>IF($A361&lt;DATE(2018,7,1),"-",INDEX('I1 - Universal Data'!$E$15:$V$15, MATCH(YEAR(EOMONTH($A361,6)), 'I1 - Universal Data'!$E$14:$V$14, 0)))</f>
        <v>0.03</v>
      </c>
      <c r="G361" s="1114">
        <f t="shared" si="34"/>
        <v>143.13974253258371</v>
      </c>
      <c r="H361" s="1114">
        <f t="shared" si="34"/>
        <v>433.59098971282128</v>
      </c>
    </row>
    <row r="362" spans="1:21">
      <c r="A362" s="1111">
        <f t="shared" si="32"/>
        <v>47118</v>
      </c>
      <c r="B362" s="1112">
        <f t="shared" si="30"/>
        <v>2029</v>
      </c>
      <c r="C362" s="1279"/>
      <c r="D362" s="1279"/>
      <c r="E362" s="1113">
        <f>IF($A362&lt;DATE(2018,7,1),"-",INDEX('I1 - Universal Data'!$E$16:$V$16, MATCH(YEAR(EOMONTH($A362,6)), 'I1 - Universal Data'!$E$14:$V$14, 0)))</f>
        <v>0.02</v>
      </c>
      <c r="F362" s="1113">
        <f>IF($A362&lt;DATE(2018,7,1),"-",INDEX('I1 - Universal Data'!$E$15:$V$15, MATCH(YEAR(EOMONTH($A362,6)), 'I1 - Universal Data'!$E$14:$V$14, 0)))</f>
        <v>0.03</v>
      </c>
      <c r="G362" s="1114">
        <f t="shared" si="34"/>
        <v>143.37614945491219</v>
      </c>
      <c r="H362" s="1114">
        <f t="shared" si="34"/>
        <v>434.66034206429327</v>
      </c>
    </row>
    <row r="363" spans="1:21">
      <c r="A363" s="1111">
        <f t="shared" si="32"/>
        <v>47149</v>
      </c>
      <c r="B363" s="1112">
        <f t="shared" si="30"/>
        <v>2029</v>
      </c>
      <c r="C363" s="1279"/>
      <c r="D363" s="1279"/>
      <c r="E363" s="1113">
        <f>IF($A363&lt;DATE(2018,7,1),"-",INDEX('I1 - Universal Data'!$E$16:$V$16, MATCH(YEAR(EOMONTH($A363,6)), 'I1 - Universal Data'!$E$14:$V$14, 0)))</f>
        <v>0.02</v>
      </c>
      <c r="F363" s="1113">
        <f>IF($A363&lt;DATE(2018,7,1),"-",INDEX('I1 - Universal Data'!$E$15:$V$15, MATCH(YEAR(EOMONTH($A363,6)), 'I1 - Universal Data'!$E$14:$V$14, 0)))</f>
        <v>0.03</v>
      </c>
      <c r="G363" s="1114">
        <f t="shared" si="34"/>
        <v>143.61294682249326</v>
      </c>
      <c r="H363" s="1114">
        <f t="shared" si="34"/>
        <v>435.73233172714561</v>
      </c>
    </row>
    <row r="364" spans="1:21">
      <c r="A364" s="1111">
        <f t="shared" si="32"/>
        <v>47177</v>
      </c>
      <c r="B364" s="1112">
        <f t="shared" si="30"/>
        <v>2029</v>
      </c>
      <c r="C364" s="1279"/>
      <c r="D364" s="1279"/>
      <c r="E364" s="1113">
        <f>IF($A364&lt;DATE(2018,7,1),"-",INDEX('I1 - Universal Data'!$E$16:$V$16, MATCH(YEAR(EOMONTH($A364,6)), 'I1 - Universal Data'!$E$14:$V$14, 0)))</f>
        <v>0.02</v>
      </c>
      <c r="F364" s="1113">
        <f>IF($A364&lt;DATE(2018,7,1),"-",INDEX('I1 - Universal Data'!$E$15:$V$15, MATCH(YEAR(EOMONTH($A364,6)), 'I1 - Universal Data'!$E$14:$V$14, 0)))</f>
        <v>0.03</v>
      </c>
      <c r="G364" s="1114">
        <f t="shared" si="34"/>
        <v>143.85013528017896</v>
      </c>
      <c r="H364" s="1114">
        <f t="shared" si="34"/>
        <v>436.80696520569967</v>
      </c>
    </row>
    <row r="365" spans="1:21">
      <c r="A365" s="1111">
        <f t="shared" si="32"/>
        <v>47208</v>
      </c>
      <c r="B365" s="1112">
        <f t="shared" si="30"/>
        <v>2029</v>
      </c>
      <c r="C365" s="1279"/>
      <c r="D365" s="1279"/>
      <c r="E365" s="1113">
        <f>IF($A365&lt;DATE(2018,7,1),"-",INDEX('I1 - Universal Data'!$E$16:$V$16, MATCH(YEAR(EOMONTH($A365,6)), 'I1 - Universal Data'!$E$14:$V$14, 0)))</f>
        <v>0.02</v>
      </c>
      <c r="F365" s="1113">
        <f>IF($A365&lt;DATE(2018,7,1),"-",INDEX('I1 - Universal Data'!$E$15:$V$15, MATCH(YEAR(EOMONTH($A365,6)), 'I1 - Universal Data'!$E$14:$V$14, 0)))</f>
        <v>0.03</v>
      </c>
      <c r="G365" s="1114">
        <f t="shared" si="34"/>
        <v>144.08771547388639</v>
      </c>
      <c r="H365" s="1114">
        <f t="shared" si="34"/>
        <v>437.88424902031818</v>
      </c>
    </row>
    <row r="366" spans="1:21">
      <c r="A366" s="1111">
        <f t="shared" si="32"/>
        <v>47238</v>
      </c>
      <c r="B366" s="1112">
        <f t="shared" si="30"/>
        <v>2030</v>
      </c>
      <c r="C366" s="1279"/>
      <c r="D366" s="1279"/>
      <c r="E366" s="1113">
        <f>IF($A366&lt;DATE(2018,7,1),"-",INDEX('I1 - Universal Data'!$E$16:$V$16, MATCH(YEAR(EOMONTH($A366,6)), 'I1 - Universal Data'!$E$14:$V$14, 0)))</f>
        <v>0.02</v>
      </c>
      <c r="F366" s="1113">
        <f>IF($A366&lt;DATE(2018,7,1),"-",INDEX('I1 - Universal Data'!$E$15:$V$15, MATCH(YEAR(EOMONTH($A366,6)), 'I1 - Universal Data'!$E$14:$V$14, 0)))</f>
        <v>0.03</v>
      </c>
      <c r="G366" s="1114">
        <f t="shared" si="34"/>
        <v>144.32568805059947</v>
      </c>
      <c r="H366" s="1114">
        <f t="shared" si="34"/>
        <v>438.96418970744492</v>
      </c>
    </row>
    <row r="367" spans="1:21">
      <c r="A367" s="1111">
        <f t="shared" si="32"/>
        <v>47269</v>
      </c>
      <c r="B367" s="1112">
        <f t="shared" si="30"/>
        <v>2030</v>
      </c>
      <c r="C367" s="1279"/>
      <c r="D367" s="1279"/>
      <c r="E367" s="1113">
        <f>IF($A367&lt;DATE(2018,7,1),"-",INDEX('I1 - Universal Data'!$E$16:$V$16, MATCH(YEAR(EOMONTH($A367,6)), 'I1 - Universal Data'!$E$14:$V$14, 0)))</f>
        <v>0.02</v>
      </c>
      <c r="F367" s="1113">
        <f>IF($A367&lt;DATE(2018,7,1),"-",INDEX('I1 - Universal Data'!$E$15:$V$15, MATCH(YEAR(EOMONTH($A367,6)), 'I1 - Universal Data'!$E$14:$V$14, 0)))</f>
        <v>0.03</v>
      </c>
      <c r="G367" s="1114">
        <f t="shared" si="34"/>
        <v>144.5640536583706</v>
      </c>
      <c r="H367" s="1114">
        <f t="shared" si="34"/>
        <v>440.04679381964417</v>
      </c>
    </row>
    <row r="368" spans="1:21">
      <c r="A368" s="1111">
        <f t="shared" si="32"/>
        <v>47299</v>
      </c>
      <c r="B368" s="1112">
        <f t="shared" si="30"/>
        <v>2030</v>
      </c>
      <c r="C368" s="1279"/>
      <c r="D368" s="1279"/>
      <c r="E368" s="1113">
        <f>IF($A368&lt;DATE(2018,7,1),"-",INDEX('I1 - Universal Data'!$E$16:$V$16, MATCH(YEAR(EOMONTH($A368,6)), 'I1 - Universal Data'!$E$14:$V$14, 0)))</f>
        <v>0.02</v>
      </c>
      <c r="F368" s="1113">
        <f>IF($A368&lt;DATE(2018,7,1),"-",INDEX('I1 - Universal Data'!$E$15:$V$15, MATCH(YEAR(EOMONTH($A368,6)), 'I1 - Universal Data'!$E$14:$V$14, 0)))</f>
        <v>0.03</v>
      </c>
      <c r="G368" s="1114">
        <f t="shared" si="34"/>
        <v>144.80281294632255</v>
      </c>
      <c r="H368" s="1114">
        <f t="shared" si="34"/>
        <v>441.13206792564068</v>
      </c>
    </row>
    <row r="369" spans="1:8">
      <c r="A369" s="1111">
        <f t="shared" si="32"/>
        <v>47330</v>
      </c>
      <c r="B369" s="1112">
        <f t="shared" si="30"/>
        <v>2030</v>
      </c>
      <c r="C369" s="1279"/>
      <c r="D369" s="1279"/>
      <c r="E369" s="1113">
        <f>IF($A369&lt;DATE(2018,7,1),"-",INDEX('I1 - Universal Data'!$E$16:$V$16, MATCH(YEAR(EOMONTH($A369,6)), 'I1 - Universal Data'!$E$14:$V$14, 0)))</f>
        <v>0.02</v>
      </c>
      <c r="F369" s="1113">
        <f>IF($A369&lt;DATE(2018,7,1),"-",INDEX('I1 - Universal Data'!$E$15:$V$15, MATCH(YEAR(EOMONTH($A369,6)), 'I1 - Universal Data'!$E$14:$V$14, 0)))</f>
        <v>0.03</v>
      </c>
      <c r="G369" s="1114">
        <f t="shared" si="34"/>
        <v>145.04196656465015</v>
      </c>
      <c r="H369" s="1114">
        <f t="shared" si="34"/>
        <v>442.22001861035949</v>
      </c>
    </row>
    <row r="370" spans="1:8">
      <c r="A370" s="1111">
        <f t="shared" si="32"/>
        <v>47361</v>
      </c>
      <c r="B370" s="1112">
        <f t="shared" si="30"/>
        <v>2030</v>
      </c>
      <c r="C370" s="1279"/>
      <c r="D370" s="1279"/>
      <c r="E370" s="1113">
        <f>IF($A370&lt;DATE(2018,7,1),"-",INDEX('I1 - Universal Data'!$E$16:$V$16, MATCH(YEAR(EOMONTH($A370,6)), 'I1 - Universal Data'!$E$14:$V$14, 0)))</f>
        <v>0.02</v>
      </c>
      <c r="F370" s="1113">
        <f>IF($A370&lt;DATE(2018,7,1),"-",INDEX('I1 - Universal Data'!$E$15:$V$15, MATCH(YEAR(EOMONTH($A370,6)), 'I1 - Universal Data'!$E$14:$V$14, 0)))</f>
        <v>0.03</v>
      </c>
      <c r="G370" s="1114">
        <f t="shared" si="34"/>
        <v>145.28151516462208</v>
      </c>
      <c r="H370" s="1114">
        <f t="shared" si="34"/>
        <v>443.31065247496576</v>
      </c>
    </row>
    <row r="371" spans="1:8">
      <c r="A371" s="1111">
        <f t="shared" si="32"/>
        <v>47391</v>
      </c>
      <c r="B371" s="1112">
        <f t="shared" si="30"/>
        <v>2030</v>
      </c>
      <c r="C371" s="1279"/>
      <c r="D371" s="1279"/>
      <c r="E371" s="1113">
        <f>IF($A371&lt;DATE(2018,7,1),"-",INDEX('I1 - Universal Data'!$E$16:$V$16, MATCH(YEAR(EOMONTH($A371,6)), 'I1 - Universal Data'!$E$14:$V$14, 0)))</f>
        <v>0.02</v>
      </c>
      <c r="F371" s="1113">
        <f>IF($A371&lt;DATE(2018,7,1),"-",INDEX('I1 - Universal Data'!$E$15:$V$15, MATCH(YEAR(EOMONTH($A371,6)), 'I1 - Universal Data'!$E$14:$V$14, 0)))</f>
        <v>0.03</v>
      </c>
      <c r="G371" s="1114">
        <f t="shared" si="34"/>
        <v>145.52145939858261</v>
      </c>
      <c r="H371" s="1114">
        <f t="shared" si="34"/>
        <v>444.40397613690499</v>
      </c>
    </row>
    <row r="372" spans="1:8">
      <c r="A372" s="1111">
        <f t="shared" si="32"/>
        <v>47422</v>
      </c>
      <c r="B372" s="1112">
        <f t="shared" si="30"/>
        <v>2030</v>
      </c>
      <c r="C372" s="1279"/>
      <c r="D372" s="1279"/>
      <c r="E372" s="1113">
        <f>IF($A372&lt;DATE(2018,7,1),"-",INDEX('I1 - Universal Data'!$E$16:$V$16, MATCH(YEAR(EOMONTH($A372,6)), 'I1 - Universal Data'!$E$14:$V$14, 0)))</f>
        <v>0.02</v>
      </c>
      <c r="F372" s="1113">
        <f>IF($A372&lt;DATE(2018,7,1),"-",INDEX('I1 - Universal Data'!$E$15:$V$15, MATCH(YEAR(EOMONTH($A372,6)), 'I1 - Universal Data'!$E$14:$V$14, 0)))</f>
        <v>0.03</v>
      </c>
      <c r="G372" s="1114">
        <f t="shared" si="34"/>
        <v>145.76179991995346</v>
      </c>
      <c r="H372" s="1114">
        <f t="shared" si="34"/>
        <v>445.49999622994301</v>
      </c>
    </row>
    <row r="373" spans="1:8">
      <c r="A373" s="1111">
        <f t="shared" si="32"/>
        <v>47452</v>
      </c>
      <c r="B373" s="1112">
        <f t="shared" si="30"/>
        <v>2030</v>
      </c>
      <c r="C373" s="1279"/>
      <c r="D373" s="1279"/>
      <c r="E373" s="1113">
        <f>IF($A373&lt;DATE(2018,7,1),"-",INDEX('I1 - Universal Data'!$E$16:$V$16, MATCH(YEAR(EOMONTH($A373,6)), 'I1 - Universal Data'!$E$14:$V$14, 0)))</f>
        <v>0.02</v>
      </c>
      <c r="F373" s="1113">
        <f>IF($A373&lt;DATE(2018,7,1),"-",INDEX('I1 - Universal Data'!$E$15:$V$15, MATCH(YEAR(EOMONTH($A373,6)), 'I1 - Universal Data'!$E$14:$V$14, 0)))</f>
        <v>0.03</v>
      </c>
      <c r="G373" s="1114">
        <f t="shared" si="34"/>
        <v>146.00253738323551</v>
      </c>
      <c r="H373" s="1114">
        <f t="shared" si="34"/>
        <v>446.59871940420635</v>
      </c>
    </row>
    <row r="374" spans="1:8">
      <c r="A374" s="1111">
        <f t="shared" si="32"/>
        <v>47483</v>
      </c>
      <c r="B374" s="1112">
        <f t="shared" si="30"/>
        <v>2030</v>
      </c>
      <c r="C374" s="1279"/>
      <c r="D374" s="1279"/>
      <c r="E374" s="1113">
        <f>IF($A374&lt;DATE(2018,7,1),"-",INDEX('I1 - Universal Data'!$E$16:$V$16, MATCH(YEAR(EOMONTH($A374,6)), 'I1 - Universal Data'!$E$14:$V$14, 0)))</f>
        <v>0.02</v>
      </c>
      <c r="F374" s="1113">
        <f>IF($A374&lt;DATE(2018,7,1),"-",INDEX('I1 - Universal Data'!$E$15:$V$15, MATCH(YEAR(EOMONTH($A374,6)), 'I1 - Universal Data'!$E$14:$V$14, 0)))</f>
        <v>0.03</v>
      </c>
      <c r="G374" s="1114">
        <f t="shared" ref="G374:H389" si="35">IF(ISBLANK(C374),G373*((1+E374)^(1/12)),C374)</f>
        <v>146.24367244401057</v>
      </c>
      <c r="H374" s="1114">
        <f t="shared" si="35"/>
        <v>447.70015232622245</v>
      </c>
    </row>
    <row r="375" spans="1:8">
      <c r="A375" s="1111">
        <f t="shared" si="32"/>
        <v>47514</v>
      </c>
      <c r="B375" s="1112">
        <f t="shared" si="30"/>
        <v>2030</v>
      </c>
      <c r="C375" s="1279"/>
      <c r="D375" s="1279"/>
      <c r="E375" s="1113">
        <f>IF($A375&lt;DATE(2018,7,1),"-",INDEX('I1 - Universal Data'!$E$16:$V$16, MATCH(YEAR(EOMONTH($A375,6)), 'I1 - Universal Data'!$E$14:$V$14, 0)))</f>
        <v>0.02</v>
      </c>
      <c r="F375" s="1113">
        <f>IF($A375&lt;DATE(2018,7,1),"-",INDEX('I1 - Universal Data'!$E$15:$V$15, MATCH(YEAR(EOMONTH($A375,6)), 'I1 - Universal Data'!$E$14:$V$14, 0)))</f>
        <v>0.03</v>
      </c>
      <c r="G375" s="1114">
        <f t="shared" si="35"/>
        <v>146.48520575894324</v>
      </c>
      <c r="H375" s="1114">
        <f t="shared" si="35"/>
        <v>448.80430167896037</v>
      </c>
    </row>
    <row r="376" spans="1:8">
      <c r="A376" s="1111">
        <f t="shared" si="32"/>
        <v>47542</v>
      </c>
      <c r="B376" s="1112">
        <f t="shared" si="30"/>
        <v>2030</v>
      </c>
      <c r="C376" s="1279"/>
      <c r="D376" s="1279"/>
      <c r="E376" s="1113">
        <f>IF($A376&lt;DATE(2018,7,1),"-",INDEX('I1 - Universal Data'!$E$16:$V$16, MATCH(YEAR(EOMONTH($A376,6)), 'I1 - Universal Data'!$E$14:$V$14, 0)))</f>
        <v>0.02</v>
      </c>
      <c r="F376" s="1113">
        <f>IF($A376&lt;DATE(2018,7,1),"-",INDEX('I1 - Universal Data'!$E$15:$V$15, MATCH(YEAR(EOMONTH($A376,6)), 'I1 - Universal Data'!$E$14:$V$14, 0)))</f>
        <v>0.03</v>
      </c>
      <c r="G376" s="1114">
        <f t="shared" si="35"/>
        <v>146.72713798578263</v>
      </c>
      <c r="H376" s="1114">
        <f t="shared" si="35"/>
        <v>449.91117416187103</v>
      </c>
    </row>
    <row r="377" spans="1:8">
      <c r="A377" s="1111">
        <f t="shared" si="32"/>
        <v>47573</v>
      </c>
      <c r="B377" s="1112">
        <f t="shared" si="30"/>
        <v>2030</v>
      </c>
      <c r="C377" s="1279"/>
      <c r="D377" s="1279"/>
      <c r="E377" s="1113">
        <f>IF($A377&lt;DATE(2018,7,1),"-",INDEX('I1 - Universal Data'!$E$16:$V$16, MATCH(YEAR(EOMONTH($A377,6)), 'I1 - Universal Data'!$E$14:$V$14, 0)))</f>
        <v>0.02</v>
      </c>
      <c r="F377" s="1113">
        <f>IF($A377&lt;DATE(2018,7,1),"-",INDEX('I1 - Universal Data'!$E$15:$V$15, MATCH(YEAR(EOMONTH($A377,6)), 'I1 - Universal Data'!$E$14:$V$14, 0)))</f>
        <v>0.03</v>
      </c>
      <c r="G377" s="1114">
        <f t="shared" si="35"/>
        <v>146.96946978336422</v>
      </c>
      <c r="H377" s="1114">
        <f t="shared" si="35"/>
        <v>451.02077649092809</v>
      </c>
    </row>
    <row r="378" spans="1:8">
      <c r="A378" s="1111">
        <f t="shared" si="32"/>
        <v>47603</v>
      </c>
      <c r="B378" s="1112">
        <f t="shared" si="30"/>
        <v>2031</v>
      </c>
      <c r="C378" s="1279"/>
      <c r="D378" s="1279"/>
      <c r="E378" s="1113">
        <f>IF($A378&lt;DATE(2018,7,1),"-",INDEX('I1 - Universal Data'!$E$16:$V$16, MATCH(YEAR(EOMONTH($A378,6)), 'I1 - Universal Data'!$E$14:$V$14, 0)))</f>
        <v>0.02</v>
      </c>
      <c r="F378" s="1113">
        <f>IF($A378&lt;DATE(2018,7,1),"-",INDEX('I1 - Universal Data'!$E$15:$V$15, MATCH(YEAR(EOMONTH($A378,6)), 'I1 - Universal Data'!$E$14:$V$14, 0)))</f>
        <v>0.03</v>
      </c>
      <c r="G378" s="1114">
        <f t="shared" si="35"/>
        <v>147.21220181161155</v>
      </c>
      <c r="H378" s="1114">
        <f t="shared" si="35"/>
        <v>452.13311539866862</v>
      </c>
    </row>
    <row r="379" spans="1:8">
      <c r="A379" s="1111">
        <f t="shared" si="32"/>
        <v>47634</v>
      </c>
      <c r="B379" s="1112">
        <f t="shared" si="30"/>
        <v>2031</v>
      </c>
      <c r="C379" s="1279"/>
      <c r="D379" s="1279"/>
      <c r="E379" s="1113">
        <f>IF($A379&lt;DATE(2018,7,1),"-",INDEX('I1 - Universal Data'!$E$16:$V$16, MATCH(YEAR(EOMONTH($A379,6)), 'I1 - Universal Data'!$E$14:$V$14, 0)))</f>
        <v>0.02</v>
      </c>
      <c r="F379" s="1113">
        <f>IF($A379&lt;DATE(2018,7,1),"-",INDEX('I1 - Universal Data'!$E$15:$V$15, MATCH(YEAR(EOMONTH($A379,6)), 'I1 - Universal Data'!$E$14:$V$14, 0)))</f>
        <v>0.03</v>
      </c>
      <c r="G379" s="1114">
        <f t="shared" si="35"/>
        <v>147.4553347315381</v>
      </c>
      <c r="H379" s="1114">
        <f t="shared" si="35"/>
        <v>453.24819763423386</v>
      </c>
    </row>
    <row r="380" spans="1:8">
      <c r="A380" s="1111">
        <f t="shared" si="32"/>
        <v>47664</v>
      </c>
      <c r="B380" s="1112">
        <f t="shared" si="30"/>
        <v>2031</v>
      </c>
      <c r="C380" s="1279"/>
      <c r="D380" s="1279"/>
      <c r="E380" s="1113">
        <f>IF($A380&lt;DATE(2018,7,1),"-",INDEX('I1 - Universal Data'!$E$16:$V$16, MATCH(YEAR(EOMONTH($A380,6)), 'I1 - Universal Data'!$E$14:$V$14, 0)))</f>
        <v>0.02</v>
      </c>
      <c r="F380" s="1113">
        <f>IF($A380&lt;DATE(2018,7,1),"-",INDEX('I1 - Universal Data'!$E$15:$V$15, MATCH(YEAR(EOMONTH($A380,6)), 'I1 - Universal Data'!$E$14:$V$14, 0)))</f>
        <v>0.03</v>
      </c>
      <c r="G380" s="1114">
        <f t="shared" si="35"/>
        <v>147.69886920524911</v>
      </c>
      <c r="H380" s="1114">
        <f t="shared" si="35"/>
        <v>454.36602996341031</v>
      </c>
    </row>
    <row r="381" spans="1:8">
      <c r="A381" s="1111">
        <f t="shared" si="32"/>
        <v>47695</v>
      </c>
      <c r="B381" s="1112">
        <f t="shared" si="30"/>
        <v>2031</v>
      </c>
      <c r="C381" s="1279"/>
      <c r="D381" s="1279"/>
      <c r="E381" s="1113">
        <f>IF($A381&lt;DATE(2018,7,1),"-",INDEX('I1 - Universal Data'!$E$16:$V$16, MATCH(YEAR(EOMONTH($A381,6)), 'I1 - Universal Data'!$E$14:$V$14, 0)))</f>
        <v>0.02</v>
      </c>
      <c r="F381" s="1113">
        <f>IF($A381&lt;DATE(2018,7,1),"-",INDEX('I1 - Universal Data'!$E$15:$V$15, MATCH(YEAR(EOMONTH($A381,6)), 'I1 - Universal Data'!$E$14:$V$14, 0)))</f>
        <v>0.03</v>
      </c>
      <c r="G381" s="1114">
        <f t="shared" si="35"/>
        <v>147.94280589594325</v>
      </c>
      <c r="H381" s="1114">
        <f t="shared" si="35"/>
        <v>455.4866191686707</v>
      </c>
    </row>
    <row r="382" spans="1:8">
      <c r="A382" s="1111">
        <f t="shared" si="32"/>
        <v>47726</v>
      </c>
      <c r="B382" s="1112">
        <f t="shared" si="30"/>
        <v>2031</v>
      </c>
      <c r="C382" s="1279"/>
      <c r="D382" s="1279"/>
      <c r="E382" s="1113">
        <f>IF($A382&lt;DATE(2018,7,1),"-",INDEX('I1 - Universal Data'!$E$16:$V$16, MATCH(YEAR(EOMONTH($A382,6)), 'I1 - Universal Data'!$E$14:$V$14, 0)))</f>
        <v>0.02</v>
      </c>
      <c r="F382" s="1113">
        <f>IF($A382&lt;DATE(2018,7,1),"-",INDEX('I1 - Universal Data'!$E$15:$V$15, MATCH(YEAR(EOMONTH($A382,6)), 'I1 - Universal Data'!$E$14:$V$14, 0)))</f>
        <v>0.03</v>
      </c>
      <c r="G382" s="1114">
        <f t="shared" si="35"/>
        <v>148.1871454679146</v>
      </c>
      <c r="H382" s="1114">
        <f t="shared" si="35"/>
        <v>456.60997204921517</v>
      </c>
    </row>
    <row r="383" spans="1:8">
      <c r="A383" s="1111">
        <f t="shared" si="32"/>
        <v>47756</v>
      </c>
      <c r="B383" s="1112">
        <f t="shared" si="30"/>
        <v>2031</v>
      </c>
      <c r="C383" s="1279"/>
      <c r="D383" s="1279"/>
      <c r="E383" s="1113">
        <f>IF($A383&lt;DATE(2018,7,1),"-",INDEX('I1 - Universal Data'!$E$16:$V$16, MATCH(YEAR(EOMONTH($A383,6)), 'I1 - Universal Data'!$E$14:$V$14, 0)))</f>
        <v>0.02</v>
      </c>
      <c r="F383" s="1113">
        <f>IF($A383&lt;DATE(2018,7,1),"-",INDEX('I1 - Universal Data'!$E$15:$V$15, MATCH(YEAR(EOMONTH($A383,6)), 'I1 - Universal Data'!$E$14:$V$14, 0)))</f>
        <v>0.03</v>
      </c>
      <c r="G383" s="1114">
        <f t="shared" si="35"/>
        <v>148.43188858655435</v>
      </c>
      <c r="H383" s="1114">
        <f t="shared" si="35"/>
        <v>457.73609542101258</v>
      </c>
    </row>
    <row r="384" spans="1:8">
      <c r="A384" s="1111">
        <f t="shared" si="32"/>
        <v>47787</v>
      </c>
      <c r="B384" s="1112">
        <f t="shared" si="30"/>
        <v>2031</v>
      </c>
      <c r="C384" s="1279"/>
      <c r="D384" s="1279"/>
      <c r="E384" s="1113">
        <f>IF($A384&lt;DATE(2018,7,1),"-",INDEX('I1 - Universal Data'!$E$16:$V$16, MATCH(YEAR(EOMONTH($A384,6)), 'I1 - Universal Data'!$E$14:$V$14, 0)))</f>
        <v>0.02</v>
      </c>
      <c r="F384" s="1113">
        <f>IF($A384&lt;DATE(2018,7,1),"-",INDEX('I1 - Universal Data'!$E$15:$V$15, MATCH(YEAR(EOMONTH($A384,6)), 'I1 - Universal Data'!$E$14:$V$14, 0)))</f>
        <v>0.03</v>
      </c>
      <c r="G384" s="1114">
        <f t="shared" si="35"/>
        <v>148.6770359183526</v>
      </c>
      <c r="H384" s="1114">
        <f t="shared" si="35"/>
        <v>458.86499611684172</v>
      </c>
    </row>
    <row r="385" spans="1:8">
      <c r="A385" s="1111">
        <f t="shared" si="32"/>
        <v>47817</v>
      </c>
      <c r="B385" s="1112">
        <f t="shared" si="30"/>
        <v>2031</v>
      </c>
      <c r="C385" s="1279"/>
      <c r="D385" s="1279"/>
      <c r="E385" s="1113">
        <f>IF($A385&lt;DATE(2018,7,1),"-",INDEX('I1 - Universal Data'!$E$16:$V$16, MATCH(YEAR(EOMONTH($A385,6)), 'I1 - Universal Data'!$E$14:$V$14, 0)))</f>
        <v>0.02</v>
      </c>
      <c r="F385" s="1113">
        <f>IF($A385&lt;DATE(2018,7,1),"-",INDEX('I1 - Universal Data'!$E$15:$V$15, MATCH(YEAR(EOMONTH($A385,6)), 'I1 - Universal Data'!$E$14:$V$14, 0)))</f>
        <v>0.03</v>
      </c>
      <c r="G385" s="1114">
        <f t="shared" si="35"/>
        <v>148.92258813090027</v>
      </c>
      <c r="H385" s="1114">
        <f t="shared" si="35"/>
        <v>459.99668098633293</v>
      </c>
    </row>
    <row r="386" spans="1:8">
      <c r="A386" s="1111">
        <f t="shared" si="32"/>
        <v>47848</v>
      </c>
      <c r="B386" s="1112">
        <f t="shared" si="30"/>
        <v>2031</v>
      </c>
      <c r="C386" s="1279"/>
      <c r="D386" s="1279"/>
      <c r="E386" s="1113">
        <f>IF($A386&lt;DATE(2018,7,1),"-",INDEX('I1 - Universal Data'!$E$16:$V$16, MATCH(YEAR(EOMONTH($A386,6)), 'I1 - Universal Data'!$E$14:$V$14, 0)))</f>
        <v>0.02</v>
      </c>
      <c r="F386" s="1113">
        <f>IF($A386&lt;DATE(2018,7,1),"-",INDEX('I1 - Universal Data'!$E$15:$V$15, MATCH(YEAR(EOMONTH($A386,6)), 'I1 - Universal Data'!$E$14:$V$14, 0)))</f>
        <v>0.03</v>
      </c>
      <c r="G386" s="1114">
        <f t="shared" si="35"/>
        <v>149.16854589289082</v>
      </c>
      <c r="H386" s="1114">
        <f t="shared" si="35"/>
        <v>461.13115689600954</v>
      </c>
    </row>
    <row r="387" spans="1:8">
      <c r="A387" s="1111">
        <f t="shared" si="32"/>
        <v>47879</v>
      </c>
      <c r="B387" s="1112">
        <f t="shared" si="30"/>
        <v>2031</v>
      </c>
      <c r="C387" s="1279"/>
      <c r="D387" s="1279"/>
      <c r="E387" s="1113">
        <f>IF($A387&lt;DATE(2018,7,1),"-",INDEX('I1 - Universal Data'!$E$16:$V$16, MATCH(YEAR(EOMONTH($A387,6)), 'I1 - Universal Data'!$E$14:$V$14, 0)))</f>
        <v>0.02</v>
      </c>
      <c r="F387" s="1113">
        <f>IF($A387&lt;DATE(2018,7,1),"-",INDEX('I1 - Universal Data'!$E$15:$V$15, MATCH(YEAR(EOMONTH($A387,6)), 'I1 - Universal Data'!$E$14:$V$14, 0)))</f>
        <v>0.03</v>
      </c>
      <c r="G387" s="1114">
        <f t="shared" si="35"/>
        <v>149.41490987412215</v>
      </c>
      <c r="H387" s="1114">
        <f t="shared" si="35"/>
        <v>462.26843072932962</v>
      </c>
    </row>
    <row r="388" spans="1:8">
      <c r="A388" s="1111">
        <f t="shared" si="32"/>
        <v>47907</v>
      </c>
      <c r="B388" s="1112">
        <f t="shared" si="30"/>
        <v>2031</v>
      </c>
      <c r="C388" s="1279"/>
      <c r="D388" s="1279"/>
      <c r="E388" s="1113">
        <f>IF($A388&lt;DATE(2018,7,1),"-",INDEX('I1 - Universal Data'!$E$16:$V$16, MATCH(YEAR(EOMONTH($A388,6)), 'I1 - Universal Data'!$E$14:$V$14, 0)))</f>
        <v>0.02</v>
      </c>
      <c r="F388" s="1113">
        <f>IF($A388&lt;DATE(2018,7,1),"-",INDEX('I1 - Universal Data'!$E$15:$V$15, MATCH(YEAR(EOMONTH($A388,6)), 'I1 - Universal Data'!$E$14:$V$14, 0)))</f>
        <v>0.03</v>
      </c>
      <c r="G388" s="1114">
        <f t="shared" si="35"/>
        <v>149.66168074549833</v>
      </c>
      <c r="H388" s="1114">
        <f t="shared" si="35"/>
        <v>463.40850938672764</v>
      </c>
    </row>
    <row r="389" spans="1:8">
      <c r="A389" s="1111">
        <f t="shared" si="32"/>
        <v>47938</v>
      </c>
      <c r="B389" s="1112">
        <f t="shared" si="30"/>
        <v>2031</v>
      </c>
      <c r="C389" s="1279"/>
      <c r="D389" s="1279"/>
      <c r="E389" s="1113">
        <f>IF($A389&lt;DATE(2018,7,1),"-",INDEX('I1 - Universal Data'!$E$16:$V$16, MATCH(YEAR(EOMONTH($A389,6)), 'I1 - Universal Data'!$E$14:$V$14, 0)))</f>
        <v>0.02</v>
      </c>
      <c r="F389" s="1113">
        <f>IF($A389&lt;DATE(2018,7,1),"-",INDEX('I1 - Universal Data'!$E$15:$V$15, MATCH(YEAR(EOMONTH($A389,6)), 'I1 - Universal Data'!$E$14:$V$14, 0)))</f>
        <v>0.03</v>
      </c>
      <c r="G389" s="1114">
        <f t="shared" si="35"/>
        <v>149.90885917903154</v>
      </c>
      <c r="H389" s="1114">
        <f t="shared" si="35"/>
        <v>464.55139978565643</v>
      </c>
    </row>
    <row r="390" spans="1:8">
      <c r="A390" s="1111">
        <f t="shared" si="32"/>
        <v>47968</v>
      </c>
      <c r="B390" s="1112">
        <f t="shared" ref="B390:B413" si="36">IF(MONTH(A390)&gt;=4,YEAR(A390)+1,YEAR(A390))</f>
        <v>2032</v>
      </c>
      <c r="C390" s="1279"/>
      <c r="D390" s="1279"/>
      <c r="E390" s="1113">
        <f>IF($A390&lt;DATE(2018,7,1),"-",INDEX('I1 - Universal Data'!$E$16:$V$16, MATCH(YEAR(EOMONTH($A390,6)), 'I1 - Universal Data'!$E$14:$V$14, 0)))</f>
        <v>0.02</v>
      </c>
      <c r="F390" s="1113">
        <f>IF($A390&lt;DATE(2018,7,1),"-",INDEX('I1 - Universal Data'!$E$15:$V$15, MATCH(YEAR(EOMONTH($A390,6)), 'I1 - Universal Data'!$E$14:$V$14, 0)))</f>
        <v>0.03</v>
      </c>
      <c r="G390" s="1114">
        <f t="shared" ref="G390:H405" si="37">IF(ISBLANK(C390),G389*((1+E390)^(1/12)),C390)</f>
        <v>150.15644584784383</v>
      </c>
      <c r="H390" s="1114">
        <f t="shared" si="37"/>
        <v>465.69710886062916</v>
      </c>
    </row>
    <row r="391" spans="1:8">
      <c r="A391" s="1111">
        <f t="shared" ref="A391:A413" si="38">IF(MONTH(A390) = 12, EOMONTH(DATE(YEAR(A390) + 1, 1, 1), 0), EOMONTH(DATE(YEAR(A390), MONTH(A390) + 1, 1), 0))</f>
        <v>47999</v>
      </c>
      <c r="B391" s="1112">
        <f t="shared" si="36"/>
        <v>2032</v>
      </c>
      <c r="C391" s="1279"/>
      <c r="D391" s="1279"/>
      <c r="E391" s="1113">
        <f>IF($A391&lt;DATE(2018,7,1),"-",INDEX('I1 - Universal Data'!$E$16:$V$16, MATCH(YEAR(EOMONTH($A391,6)), 'I1 - Universal Data'!$E$14:$V$14, 0)))</f>
        <v>0.02</v>
      </c>
      <c r="F391" s="1113">
        <f>IF($A391&lt;DATE(2018,7,1),"-",INDEX('I1 - Universal Data'!$E$15:$V$15, MATCH(YEAR(EOMONTH($A391,6)), 'I1 - Universal Data'!$E$14:$V$14, 0)))</f>
        <v>0.03</v>
      </c>
      <c r="G391" s="1114">
        <f t="shared" si="37"/>
        <v>150.40444142616892</v>
      </c>
      <c r="H391" s="1114">
        <f t="shared" si="37"/>
        <v>466.84564356326132</v>
      </c>
    </row>
    <row r="392" spans="1:8">
      <c r="A392" s="1111">
        <f t="shared" si="38"/>
        <v>48029</v>
      </c>
      <c r="B392" s="1112">
        <f t="shared" si="36"/>
        <v>2032</v>
      </c>
      <c r="C392" s="1279"/>
      <c r="D392" s="1279"/>
      <c r="E392" s="1113">
        <f>IF($A392&lt;DATE(2018,7,1),"-",INDEX('I1 - Universal Data'!$E$16:$V$16, MATCH(YEAR(EOMONTH($A392,6)), 'I1 - Universal Data'!$E$14:$V$14, 0)))</f>
        <v>0.02</v>
      </c>
      <c r="F392" s="1113">
        <f>IF($A392&lt;DATE(2018,7,1),"-",INDEX('I1 - Universal Data'!$E$15:$V$15, MATCH(YEAR(EOMONTH($A392,6)), 'I1 - Universal Data'!$E$14:$V$14, 0)))</f>
        <v>0.03</v>
      </c>
      <c r="G392" s="1114">
        <f t="shared" si="37"/>
        <v>150.65284658935414</v>
      </c>
      <c r="H392" s="1114">
        <f t="shared" si="37"/>
        <v>467.99701086231306</v>
      </c>
    </row>
    <row r="393" spans="1:8">
      <c r="A393" s="1111">
        <f t="shared" si="38"/>
        <v>48060</v>
      </c>
      <c r="B393" s="1112">
        <f t="shared" si="36"/>
        <v>2032</v>
      </c>
      <c r="C393" s="1279"/>
      <c r="D393" s="1279"/>
      <c r="E393" s="1113">
        <f>IF($A393&lt;DATE(2018,7,1),"-",INDEX('I1 - Universal Data'!$E$16:$V$16, MATCH(YEAR(EOMONTH($A393,6)), 'I1 - Universal Data'!$E$14:$V$14, 0)))</f>
        <v>0.02</v>
      </c>
      <c r="F393" s="1113">
        <f>IF($A393&lt;DATE(2018,7,1),"-",INDEX('I1 - Universal Data'!$E$15:$V$15, MATCH(YEAR(EOMONTH($A393,6)), 'I1 - Universal Data'!$E$14:$V$14, 0)))</f>
        <v>0.03</v>
      </c>
      <c r="G393" s="1114">
        <f t="shared" si="37"/>
        <v>150.90166201386216</v>
      </c>
      <c r="H393" s="1114">
        <f t="shared" si="37"/>
        <v>469.15121774373125</v>
      </c>
    </row>
    <row r="394" spans="1:8">
      <c r="A394" s="1111">
        <f t="shared" si="38"/>
        <v>48091</v>
      </c>
      <c r="B394" s="1112">
        <f t="shared" si="36"/>
        <v>2032</v>
      </c>
      <c r="C394" s="1279"/>
      <c r="D394" s="1279"/>
      <c r="E394" s="1113">
        <f>IF($A394&lt;DATE(2018,7,1),"-",INDEX('I1 - Universal Data'!$E$16:$V$16, MATCH(YEAR(EOMONTH($A394,6)), 'I1 - Universal Data'!$E$14:$V$14, 0)))</f>
        <v>0.02</v>
      </c>
      <c r="F394" s="1113">
        <f>IF($A394&lt;DATE(2018,7,1),"-",INDEX('I1 - Universal Data'!$E$15:$V$15, MATCH(YEAR(EOMONTH($A394,6)), 'I1 - Universal Data'!$E$14:$V$14, 0)))</f>
        <v>0.03</v>
      </c>
      <c r="G394" s="1114">
        <f t="shared" si="37"/>
        <v>151.15088837727293</v>
      </c>
      <c r="H394" s="1114">
        <f t="shared" si="37"/>
        <v>470.30827121069206</v>
      </c>
    </row>
    <row r="395" spans="1:8">
      <c r="A395" s="1111">
        <f t="shared" si="38"/>
        <v>48121</v>
      </c>
      <c r="B395" s="1112">
        <f t="shared" si="36"/>
        <v>2032</v>
      </c>
      <c r="C395" s="1279"/>
      <c r="D395" s="1279"/>
      <c r="E395" s="1113">
        <f>IF($A395&lt;DATE(2018,7,1),"-",INDEX('I1 - Universal Data'!$E$16:$V$16, MATCH(YEAR(EOMONTH($A395,6)), 'I1 - Universal Data'!$E$14:$V$14, 0)))</f>
        <v>0.02</v>
      </c>
      <c r="F395" s="1113">
        <f>IF($A395&lt;DATE(2018,7,1),"-",INDEX('I1 - Universal Data'!$E$15:$V$15, MATCH(YEAR(EOMONTH($A395,6)), 'I1 - Universal Data'!$E$14:$V$14, 0)))</f>
        <v>0.03</v>
      </c>
      <c r="G395" s="1114">
        <f t="shared" si="37"/>
        <v>151.40052635828548</v>
      </c>
      <c r="H395" s="1114">
        <f t="shared" si="37"/>
        <v>471.4681782836434</v>
      </c>
    </row>
    <row r="396" spans="1:8">
      <c r="A396" s="1111">
        <f t="shared" si="38"/>
        <v>48152</v>
      </c>
      <c r="B396" s="1112">
        <f t="shared" si="36"/>
        <v>2032</v>
      </c>
      <c r="C396" s="1279"/>
      <c r="D396" s="1279"/>
      <c r="E396" s="1113">
        <f>IF($A396&lt;DATE(2018,7,1),"-",INDEX('I1 - Universal Data'!$E$16:$V$16, MATCH(YEAR(EOMONTH($A396,6)), 'I1 - Universal Data'!$E$14:$V$14, 0)))</f>
        <v>0.02</v>
      </c>
      <c r="F396" s="1113">
        <f>IF($A396&lt;DATE(2018,7,1),"-",INDEX('I1 - Universal Data'!$E$15:$V$15, MATCH(YEAR(EOMONTH($A396,6)), 'I1 - Universal Data'!$E$14:$V$14, 0)))</f>
        <v>0.03</v>
      </c>
      <c r="G396" s="1114">
        <f t="shared" si="37"/>
        <v>151.65057663671971</v>
      </c>
      <c r="H396" s="1114">
        <f t="shared" si="37"/>
        <v>472.63094600034742</v>
      </c>
    </row>
    <row r="397" spans="1:8">
      <c r="A397" s="1111">
        <f t="shared" si="38"/>
        <v>48182</v>
      </c>
      <c r="B397" s="1112">
        <f t="shared" si="36"/>
        <v>2032</v>
      </c>
      <c r="C397" s="1279"/>
      <c r="D397" s="1279"/>
      <c r="E397" s="1113">
        <f>IF($A397&lt;DATE(2018,7,1),"-",INDEX('I1 - Universal Data'!$E$16:$V$16, MATCH(YEAR(EOMONTH($A397,6)), 'I1 - Universal Data'!$E$14:$V$14, 0)))</f>
        <v>0.02</v>
      </c>
      <c r="F397" s="1113">
        <f>IF($A397&lt;DATE(2018,7,1),"-",INDEX('I1 - Universal Data'!$E$15:$V$15, MATCH(YEAR(EOMONTH($A397,6)), 'I1 - Universal Data'!$E$14:$V$14, 0)))</f>
        <v>0.03</v>
      </c>
      <c r="G397" s="1114">
        <f t="shared" si="37"/>
        <v>151.90103989351834</v>
      </c>
      <c r="H397" s="1114">
        <f t="shared" si="37"/>
        <v>473.79658141592336</v>
      </c>
    </row>
    <row r="398" spans="1:8">
      <c r="A398" s="1111">
        <f t="shared" si="38"/>
        <v>48213</v>
      </c>
      <c r="B398" s="1112">
        <f t="shared" si="36"/>
        <v>2032</v>
      </c>
      <c r="C398" s="1279"/>
      <c r="D398" s="1279"/>
      <c r="E398" s="1113">
        <f>IF($A398&lt;DATE(2018,7,1),"-",INDEX('I1 - Universal Data'!$E$16:$V$16, MATCH(YEAR(EOMONTH($A398,6)), 'I1 - Universal Data'!$E$14:$V$14, 0)))</f>
        <v>0.02</v>
      </c>
      <c r="F398" s="1113">
        <f>IF($A398&lt;DATE(2018,7,1),"-",INDEX('I1 - Universal Data'!$E$15:$V$15, MATCH(YEAR(EOMONTH($A398,6)), 'I1 - Universal Data'!$E$14:$V$14, 0)))</f>
        <v>0.03</v>
      </c>
      <c r="G398" s="1114">
        <f t="shared" si="37"/>
        <v>152.15191681074873</v>
      </c>
      <c r="H398" s="1114">
        <f t="shared" si="37"/>
        <v>474.96509160289025</v>
      </c>
    </row>
    <row r="399" spans="1:8">
      <c r="A399" s="1111">
        <f t="shared" si="38"/>
        <v>48244</v>
      </c>
      <c r="B399" s="1112">
        <f t="shared" si="36"/>
        <v>2032</v>
      </c>
      <c r="C399" s="1279"/>
      <c r="D399" s="1279"/>
      <c r="E399" s="1113">
        <f>IF($A399&lt;DATE(2018,7,1),"-",INDEX('I1 - Universal Data'!$E$16:$V$16, MATCH(YEAR(EOMONTH($A399,6)), 'I1 - Universal Data'!$E$14:$V$14, 0)))</f>
        <v>0.02</v>
      </c>
      <c r="F399" s="1113">
        <f>IF($A399&lt;DATE(2018,7,1),"-",INDEX('I1 - Universal Data'!$E$15:$V$15, MATCH(YEAR(EOMONTH($A399,6)), 'I1 - Universal Data'!$E$14:$V$14, 0)))</f>
        <v>0.03</v>
      </c>
      <c r="G399" s="1114">
        <f t="shared" si="37"/>
        <v>152.40320807160469</v>
      </c>
      <c r="H399" s="1114">
        <f t="shared" si="37"/>
        <v>476.13648365120991</v>
      </c>
    </row>
    <row r="400" spans="1:8">
      <c r="A400" s="1111">
        <f t="shared" si="38"/>
        <v>48273</v>
      </c>
      <c r="B400" s="1112">
        <f t="shared" si="36"/>
        <v>2032</v>
      </c>
      <c r="C400" s="1279"/>
      <c r="D400" s="1279"/>
      <c r="E400" s="1113">
        <f>IF($A400&lt;DATE(2018,7,1),"-",INDEX('I1 - Universal Data'!$E$16:$V$16, MATCH(YEAR(EOMONTH($A400,6)), 'I1 - Universal Data'!$E$14:$V$14, 0)))</f>
        <v>0.02</v>
      </c>
      <c r="F400" s="1113">
        <f>IF($A400&lt;DATE(2018,7,1),"-",INDEX('I1 - Universal Data'!$E$15:$V$15, MATCH(YEAR(EOMONTH($A400,6)), 'I1 - Universal Data'!$E$14:$V$14, 0)))</f>
        <v>0.03</v>
      </c>
      <c r="G400" s="1114">
        <f t="shared" si="37"/>
        <v>152.65491436040841</v>
      </c>
      <c r="H400" s="1114">
        <f t="shared" si="37"/>
        <v>477.31076466832985</v>
      </c>
    </row>
    <row r="401" spans="1:8">
      <c r="A401" s="1111">
        <f t="shared" si="38"/>
        <v>48304</v>
      </c>
      <c r="B401" s="1112">
        <f t="shared" si="36"/>
        <v>2032</v>
      </c>
      <c r="C401" s="1279"/>
      <c r="D401" s="1279"/>
      <c r="E401" s="1113">
        <f>IF($A401&lt;DATE(2018,7,1),"-",INDEX('I1 - Universal Data'!$E$16:$V$16, MATCH(YEAR(EOMONTH($A401,6)), 'I1 - Universal Data'!$E$14:$V$14, 0)))</f>
        <v>0.02</v>
      </c>
      <c r="F401" s="1113">
        <f>IF($A401&lt;DATE(2018,7,1),"-",INDEX('I1 - Universal Data'!$E$15:$V$15, MATCH(YEAR(EOMONTH($A401,6)), 'I1 - Universal Data'!$E$14:$V$14, 0)))</f>
        <v>0.03</v>
      </c>
      <c r="G401" s="1114">
        <f t="shared" si="37"/>
        <v>152.9070363626123</v>
      </c>
      <c r="H401" s="1114">
        <f t="shared" si="37"/>
        <v>478.4879417792265</v>
      </c>
    </row>
    <row r="402" spans="1:8">
      <c r="A402" s="1111">
        <f t="shared" si="38"/>
        <v>48334</v>
      </c>
      <c r="B402" s="1112">
        <f t="shared" si="36"/>
        <v>2033</v>
      </c>
      <c r="C402" s="1279"/>
      <c r="D402" s="1279"/>
      <c r="E402" s="1113">
        <f>IF($A402&lt;DATE(2018,7,1),"-",INDEX('I1 - Universal Data'!$E$16:$V$16, MATCH(YEAR(EOMONTH($A402,6)), 'I1 - Universal Data'!$E$14:$V$14, 0)))</f>
        <v>0.02</v>
      </c>
      <c r="F402" s="1113">
        <f>IF($A402&lt;DATE(2018,7,1),"-",INDEX('I1 - Universal Data'!$E$15:$V$15, MATCH(YEAR(EOMONTH($A402,6)), 'I1 - Universal Data'!$E$14:$V$14, 0)))</f>
        <v>0.03</v>
      </c>
      <c r="G402" s="1114">
        <f t="shared" si="37"/>
        <v>153.15957476480082</v>
      </c>
      <c r="H402" s="1114">
        <f t="shared" si="37"/>
        <v>479.66802212644842</v>
      </c>
    </row>
    <row r="403" spans="1:8">
      <c r="A403" s="1111">
        <f t="shared" si="38"/>
        <v>48365</v>
      </c>
      <c r="B403" s="1112">
        <f t="shared" si="36"/>
        <v>2033</v>
      </c>
      <c r="C403" s="1279"/>
      <c r="D403" s="1279"/>
      <c r="E403" s="1113">
        <f>IF($A403&lt;DATE(2018,7,1),"-",INDEX('I1 - Universal Data'!$E$16:$V$16, MATCH(YEAR(EOMONTH($A403,6)), 'I1 - Universal Data'!$E$14:$V$14, 0)))</f>
        <v>0.02</v>
      </c>
      <c r="F403" s="1113">
        <f>IF($A403&lt;DATE(2018,7,1),"-",INDEX('I1 - Universal Data'!$E$15:$V$15, MATCH(YEAR(EOMONTH($A403,6)), 'I1 - Universal Data'!$E$14:$V$14, 0)))</f>
        <v>0.03</v>
      </c>
      <c r="G403" s="1114">
        <f t="shared" si="37"/>
        <v>153.41253025469243</v>
      </c>
      <c r="H403" s="1114">
        <f t="shared" si="37"/>
        <v>480.85101287015959</v>
      </c>
    </row>
    <row r="404" spans="1:8">
      <c r="A404" s="1111">
        <f t="shared" si="38"/>
        <v>48395</v>
      </c>
      <c r="B404" s="1112">
        <f t="shared" si="36"/>
        <v>2033</v>
      </c>
      <c r="C404" s="1279"/>
      <c r="D404" s="1279"/>
      <c r="E404" s="1113">
        <f>IF($A404&lt;DATE(2018,7,1),"-",INDEX('I1 - Universal Data'!$E$16:$V$16, MATCH(YEAR(EOMONTH($A404,6)), 'I1 - Universal Data'!$E$14:$V$14, 0)))</f>
        <v>0.02</v>
      </c>
      <c r="F404" s="1113">
        <f>IF($A404&lt;DATE(2018,7,1),"-",INDEX('I1 - Universal Data'!$E$15:$V$15, MATCH(YEAR(EOMONTH($A404,6)), 'I1 - Universal Data'!$E$14:$V$14, 0)))</f>
        <v>0.03</v>
      </c>
      <c r="G404" s="1114">
        <f t="shared" si="37"/>
        <v>153.66590352114136</v>
      </c>
      <c r="H404" s="1114">
        <f t="shared" si="37"/>
        <v>482.03692118818287</v>
      </c>
    </row>
    <row r="405" spans="1:8">
      <c r="A405" s="1111">
        <f t="shared" si="38"/>
        <v>48426</v>
      </c>
      <c r="B405" s="1112">
        <f t="shared" si="36"/>
        <v>2033</v>
      </c>
      <c r="C405" s="1279"/>
      <c r="D405" s="1279"/>
      <c r="E405" s="1113">
        <f>IF($A405&lt;DATE(2018,7,1),"-",INDEX('I1 - Universal Data'!$E$16:$V$16, MATCH(YEAR(EOMONTH($A405,6)), 'I1 - Universal Data'!$E$14:$V$14, 0)))</f>
        <v>0.02</v>
      </c>
      <c r="F405" s="1113">
        <f>IF($A405&lt;DATE(2018,7,1),"-",INDEX('I1 - Universal Data'!$E$15:$V$15, MATCH(YEAR(EOMONTH($A405,6)), 'I1 - Universal Data'!$E$14:$V$14, 0)))</f>
        <v>0.03</v>
      </c>
      <c r="G405" s="1114">
        <f t="shared" si="37"/>
        <v>153.91969525413955</v>
      </c>
      <c r="H405" s="1114">
        <f t="shared" si="37"/>
        <v>483.22575427604363</v>
      </c>
    </row>
    <row r="406" spans="1:8">
      <c r="A406" s="1111">
        <f t="shared" si="38"/>
        <v>48457</v>
      </c>
      <c r="B406" s="1112">
        <f t="shared" si="36"/>
        <v>2033</v>
      </c>
      <c r="C406" s="1279"/>
      <c r="D406" s="1279"/>
      <c r="E406" s="1113">
        <f>IF($A406&lt;DATE(2018,7,1),"-",INDEX('I1 - Universal Data'!$E$16:$V$16, MATCH(YEAR(EOMONTH($A406,6)), 'I1 - Universal Data'!$E$14:$V$14, 0)))</f>
        <v>0.02</v>
      </c>
      <c r="F406" s="1113">
        <f>IF($A406&lt;DATE(2018,7,1),"-",INDEX('I1 - Universal Data'!$E$15:$V$15, MATCH(YEAR(EOMONTH($A406,6)), 'I1 - Universal Data'!$E$14:$V$14, 0)))</f>
        <v>0.03</v>
      </c>
      <c r="G406" s="1114">
        <f t="shared" ref="G406:H413" si="39">IF(ISBLANK(C406),G405*((1+E406)^(1/12)),C406)</f>
        <v>154.17390614481855</v>
      </c>
      <c r="H406" s="1114">
        <f t="shared" si="39"/>
        <v>484.4175193470133</v>
      </c>
    </row>
    <row r="407" spans="1:8">
      <c r="A407" s="1111">
        <f t="shared" si="38"/>
        <v>48487</v>
      </c>
      <c r="B407" s="1112">
        <f t="shared" si="36"/>
        <v>2033</v>
      </c>
      <c r="C407" s="1279"/>
      <c r="D407" s="1279"/>
      <c r="E407" s="1113">
        <f>IF($A407&lt;DATE(2018,7,1),"-",INDEX('I1 - Universal Data'!$E$16:$V$16, MATCH(YEAR(EOMONTH($A407,6)), 'I1 - Universal Data'!$E$14:$V$14, 0)))</f>
        <v>0.02</v>
      </c>
      <c r="F407" s="1113">
        <f>IF($A407&lt;DATE(2018,7,1),"-",INDEX('I1 - Universal Data'!$E$15:$V$15, MATCH(YEAR(EOMONTH($A407,6)), 'I1 - Universal Data'!$E$14:$V$14, 0)))</f>
        <v>0.03</v>
      </c>
      <c r="G407" s="1114">
        <f t="shared" si="39"/>
        <v>154.42853688545134</v>
      </c>
      <c r="H407" s="1114">
        <f t="shared" si="39"/>
        <v>485.61222363215319</v>
      </c>
    </row>
    <row r="408" spans="1:8">
      <c r="A408" s="1111">
        <f t="shared" si="38"/>
        <v>48518</v>
      </c>
      <c r="B408" s="1112">
        <f t="shared" si="36"/>
        <v>2033</v>
      </c>
      <c r="C408" s="1279"/>
      <c r="D408" s="1279"/>
      <c r="E408" s="1113">
        <f>IF($A408&lt;DATE(2018,7,1),"-",INDEX('I1 - Universal Data'!$E$16:$V$16, MATCH(YEAR(EOMONTH($A408,6)), 'I1 - Universal Data'!$E$14:$V$14, 0)))</f>
        <v>0.02</v>
      </c>
      <c r="F408" s="1113">
        <f>IF($A408&lt;DATE(2018,7,1),"-",INDEX('I1 - Universal Data'!$E$15:$V$15, MATCH(YEAR(EOMONTH($A408,6)), 'I1 - Universal Data'!$E$14:$V$14, 0)))</f>
        <v>0.03</v>
      </c>
      <c r="G408" s="1114">
        <f t="shared" si="39"/>
        <v>154.68358816945425</v>
      </c>
      <c r="H408" s="1114">
        <f t="shared" si="39"/>
        <v>486.80987438035834</v>
      </c>
    </row>
    <row r="409" spans="1:8">
      <c r="A409" s="1111">
        <f t="shared" si="38"/>
        <v>48548</v>
      </c>
      <c r="B409" s="1112">
        <f t="shared" si="36"/>
        <v>2033</v>
      </c>
      <c r="C409" s="1279"/>
      <c r="D409" s="1279"/>
      <c r="E409" s="1113">
        <f>IF($A409&lt;DATE(2018,7,1),"-",INDEX('I1 - Universal Data'!$E$16:$V$16, MATCH(YEAR(EOMONTH($A409,6)), 'I1 - Universal Data'!$E$14:$V$14, 0)))</f>
        <v>0.02</v>
      </c>
      <c r="F409" s="1113">
        <f>IF($A409&lt;DATE(2018,7,1),"-",INDEX('I1 - Universal Data'!$E$15:$V$15, MATCH(YEAR(EOMONTH($A409,6)), 'I1 - Universal Data'!$E$14:$V$14, 0)))</f>
        <v>0.03</v>
      </c>
      <c r="G409" s="1114">
        <f t="shared" si="39"/>
        <v>154.93906069138885</v>
      </c>
      <c r="H409" s="1114">
        <f t="shared" si="39"/>
        <v>488.0104788584016</v>
      </c>
    </row>
    <row r="410" spans="1:8">
      <c r="A410" s="1111">
        <f t="shared" si="38"/>
        <v>48579</v>
      </c>
      <c r="B410" s="1112">
        <f t="shared" si="36"/>
        <v>2033</v>
      </c>
      <c r="C410" s="1279"/>
      <c r="D410" s="1279"/>
      <c r="E410" s="1113">
        <f>IF($A410&lt;DATE(2018,7,1),"-",INDEX('I1 - Universal Data'!$E$16:$V$16, MATCH(YEAR(EOMONTH($A410,6)), 'I1 - Universal Data'!$E$14:$V$14, 0)))</f>
        <v>0.02</v>
      </c>
      <c r="F410" s="1113">
        <f>IF($A410&lt;DATE(2018,7,1),"-",INDEX('I1 - Universal Data'!$E$15:$V$15, MATCH(YEAR(EOMONTH($A410,6)), 'I1 - Universal Data'!$E$14:$V$14, 0)))</f>
        <v>0.03</v>
      </c>
      <c r="G410" s="1114">
        <f t="shared" si="39"/>
        <v>155.19495514696382</v>
      </c>
      <c r="H410" s="1114">
        <f t="shared" si="39"/>
        <v>489.21404435097753</v>
      </c>
    </row>
    <row r="411" spans="1:8">
      <c r="A411" s="1111">
        <f t="shared" si="38"/>
        <v>48610</v>
      </c>
      <c r="B411" s="1112">
        <f t="shared" si="36"/>
        <v>2033</v>
      </c>
      <c r="C411" s="1279"/>
      <c r="D411" s="1279"/>
      <c r="E411" s="1113">
        <f>IF($A411&lt;DATE(2018,7,1),"-",INDEX('I1 - Universal Data'!$E$16:$V$16, MATCH(YEAR(EOMONTH($A411,6)), 'I1 - Universal Data'!$E$14:$V$14, 0)))</f>
        <v>0.02</v>
      </c>
      <c r="F411" s="1113">
        <f>IF($A411&lt;DATE(2018,7,1),"-",INDEX('I1 - Universal Data'!$E$15:$V$15, MATCH(YEAR(EOMONTH($A411,6)), 'I1 - Universal Data'!$E$14:$V$14, 0)))</f>
        <v>0.03</v>
      </c>
      <c r="G411" s="1114">
        <f t="shared" si="39"/>
        <v>155.45127223303689</v>
      </c>
      <c r="H411" s="1114">
        <f t="shared" si="39"/>
        <v>490.4205781607468</v>
      </c>
    </row>
    <row r="412" spans="1:8">
      <c r="A412" s="1111">
        <f t="shared" si="38"/>
        <v>48638</v>
      </c>
      <c r="B412" s="1112">
        <f t="shared" si="36"/>
        <v>2033</v>
      </c>
      <c r="C412" s="1106"/>
      <c r="D412" s="1106"/>
      <c r="E412" s="1113">
        <f>IF($A412&lt;DATE(2018,7,1),"-",INDEX('I1 - Universal Data'!$E$16:$V$16, MATCH(YEAR(EOMONTH($A412,6)), 'I1 - Universal Data'!$E$14:$V$14, 0)))</f>
        <v>0.02</v>
      </c>
      <c r="F412" s="1113">
        <f>IF($A412&lt;DATE(2018,7,1),"-",INDEX('I1 - Universal Data'!$E$15:$V$15, MATCH(YEAR(EOMONTH($A412,6)), 'I1 - Universal Data'!$E$14:$V$14, 0)))</f>
        <v>0.03</v>
      </c>
      <c r="G412" s="1114">
        <f t="shared" si="39"/>
        <v>155.70801264761667</v>
      </c>
      <c r="H412" s="1114">
        <f t="shared" si="39"/>
        <v>491.63008760838034</v>
      </c>
    </row>
    <row r="413" spans="1:8">
      <c r="A413" s="1111">
        <f t="shared" si="38"/>
        <v>48669</v>
      </c>
      <c r="B413" s="1112">
        <f t="shared" si="36"/>
        <v>2033</v>
      </c>
      <c r="C413" s="1106"/>
      <c r="D413" s="1106"/>
      <c r="E413" s="1113">
        <f>IF($A413&lt;DATE(2018,7,1),"-",INDEX('I1 - Universal Data'!$E$16:$V$16, MATCH(YEAR(EOMONTH($A413,6)), 'I1 - Universal Data'!$E$14:$V$14, 0)))</f>
        <v>0.02</v>
      </c>
      <c r="F413" s="1113">
        <f>IF($A413&lt;DATE(2018,7,1),"-",INDEX('I1 - Universal Data'!$E$15:$V$15, MATCH(YEAR(EOMONTH($A413,6)), 'I1 - Universal Data'!$E$14:$V$14, 0)))</f>
        <v>0.03</v>
      </c>
      <c r="G413" s="1114">
        <f t="shared" si="39"/>
        <v>155.96517708986462</v>
      </c>
      <c r="H413" s="1114">
        <f t="shared" si="39"/>
        <v>492.84258003260391</v>
      </c>
    </row>
    <row r="414" spans="1:8">
      <c r="A414" s="1101"/>
    </row>
    <row r="415" spans="1:8">
      <c r="A415" s="1101"/>
    </row>
    <row r="416" spans="1:8" hidden="1">
      <c r="A416" s="1101"/>
    </row>
    <row r="417" spans="1:1" hidden="1">
      <c r="A417" s="1101"/>
    </row>
    <row r="418" spans="1:1" hidden="1">
      <c r="A418" s="1101"/>
    </row>
    <row r="419" spans="1:1" hidden="1">
      <c r="A419" s="1101"/>
    </row>
    <row r="420" spans="1:1" hidden="1">
      <c r="A420" s="1101"/>
    </row>
    <row r="421" spans="1:1" hidden="1">
      <c r="A421" s="1101"/>
    </row>
    <row r="422" spans="1:1" hidden="1">
      <c r="A422" s="1101"/>
    </row>
    <row r="423" spans="1:1" hidden="1">
      <c r="A423" s="1101"/>
    </row>
    <row r="424" spans="1:1" hidden="1">
      <c r="A424" s="1101"/>
    </row>
    <row r="425" spans="1:1" hidden="1">
      <c r="A425" s="1101"/>
    </row>
    <row r="426" spans="1:1" hidden="1">
      <c r="A426" s="1101"/>
    </row>
    <row r="427" spans="1:1" hidden="1">
      <c r="A427" s="1101"/>
    </row>
    <row r="428" spans="1:1" hidden="1">
      <c r="A428" s="1101"/>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F27" sqref="F27"/>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Cadent-WM</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44" t="s">
        <v>248</v>
      </c>
      <c r="E8" s="1345"/>
      <c r="F8" s="1345"/>
      <c r="G8" s="1345"/>
      <c r="H8" s="1345"/>
      <c r="I8" s="4"/>
      <c r="J8" s="4"/>
      <c r="K8" s="4"/>
      <c r="L8" s="4"/>
      <c r="M8" s="4"/>
    </row>
    <row r="9" spans="1:13">
      <c r="A9" s="4"/>
      <c r="B9" s="238" t="s">
        <v>249</v>
      </c>
      <c r="C9" s="239" t="s">
        <v>250</v>
      </c>
      <c r="D9" s="1342"/>
      <c r="E9" s="1343"/>
      <c r="F9" s="1343"/>
      <c r="G9" s="1343"/>
      <c r="H9" s="1343"/>
      <c r="I9" s="4"/>
      <c r="J9" s="4"/>
      <c r="K9" s="4"/>
      <c r="L9" s="4"/>
      <c r="M9" s="4"/>
    </row>
    <row r="10" spans="1:13">
      <c r="A10" s="4"/>
      <c r="B10" s="238" t="s">
        <v>251</v>
      </c>
      <c r="C10" s="239"/>
      <c r="D10" s="1342"/>
      <c r="E10" s="1343"/>
      <c r="F10" s="1343"/>
      <c r="G10" s="1343"/>
      <c r="H10" s="1343"/>
      <c r="I10" s="4"/>
      <c r="J10" s="4"/>
      <c r="K10" s="4"/>
      <c r="L10" s="4"/>
      <c r="M10" s="4"/>
    </row>
    <row r="11" spans="1:13">
      <c r="A11" s="4"/>
      <c r="B11" s="238" t="s">
        <v>252</v>
      </c>
      <c r="C11" s="239"/>
      <c r="D11" s="1342"/>
      <c r="E11" s="1343"/>
      <c r="F11" s="1343"/>
      <c r="G11" s="1343"/>
      <c r="H11" s="1343"/>
      <c r="I11" s="4"/>
      <c r="J11" s="4"/>
      <c r="K11" s="4"/>
      <c r="L11" s="4"/>
      <c r="M11" s="4"/>
    </row>
    <row r="12" spans="1:13">
      <c r="A12" s="4"/>
      <c r="B12" s="238" t="s">
        <v>253</v>
      </c>
      <c r="C12" s="239"/>
      <c r="D12" s="1342"/>
      <c r="E12" s="1343"/>
      <c r="F12" s="1343"/>
      <c r="G12" s="1343"/>
      <c r="H12" s="1343"/>
      <c r="I12" s="4"/>
      <c r="J12" s="4"/>
      <c r="K12" s="4"/>
      <c r="L12" s="4"/>
      <c r="M12" s="4"/>
    </row>
    <row r="13" spans="1:13">
      <c r="A13" s="4"/>
      <c r="B13" s="238" t="s">
        <v>254</v>
      </c>
      <c r="C13" s="239"/>
      <c r="D13" s="1342"/>
      <c r="E13" s="1343"/>
      <c r="F13" s="1343"/>
      <c r="G13" s="1343"/>
      <c r="H13" s="1343"/>
      <c r="I13" s="4"/>
      <c r="J13" s="4"/>
      <c r="K13" s="4"/>
      <c r="L13" s="4"/>
      <c r="M13" s="4"/>
    </row>
    <row r="14" spans="1:13">
      <c r="A14" s="4"/>
      <c r="B14" s="238" t="s">
        <v>255</v>
      </c>
      <c r="C14" s="239"/>
      <c r="D14" s="1342"/>
      <c r="E14" s="1343"/>
      <c r="F14" s="1343"/>
      <c r="G14" s="1343"/>
      <c r="H14" s="1343"/>
      <c r="I14" s="4"/>
      <c r="J14" s="4"/>
      <c r="K14" s="4"/>
      <c r="L14" s="4"/>
      <c r="M14" s="4"/>
    </row>
    <row r="15" spans="1:13">
      <c r="A15" s="4"/>
      <c r="B15" s="238" t="s">
        <v>256</v>
      </c>
      <c r="C15" s="239"/>
      <c r="D15" s="1342"/>
      <c r="E15" s="1343"/>
      <c r="F15" s="1343"/>
      <c r="G15" s="1343"/>
      <c r="H15" s="1343"/>
      <c r="I15" s="4"/>
      <c r="J15" s="4"/>
      <c r="K15" s="4"/>
      <c r="L15" s="4"/>
      <c r="M15" s="4"/>
    </row>
    <row r="16" spans="1:13">
      <c r="A16" s="4"/>
      <c r="B16" s="238" t="s">
        <v>257</v>
      </c>
      <c r="C16" s="239"/>
      <c r="D16" s="1342"/>
      <c r="E16" s="1343"/>
      <c r="F16" s="1343"/>
      <c r="G16" s="1343"/>
      <c r="H16" s="1343"/>
      <c r="I16" s="4"/>
      <c r="J16" s="4"/>
      <c r="K16" s="4"/>
      <c r="L16" s="4"/>
      <c r="M16" s="4"/>
    </row>
    <row r="17" spans="1:13">
      <c r="A17" s="4"/>
      <c r="B17" s="238" t="s">
        <v>258</v>
      </c>
      <c r="C17" s="239"/>
      <c r="D17" s="1342"/>
      <c r="E17" s="1343"/>
      <c r="F17" s="1343"/>
      <c r="G17" s="1343"/>
      <c r="H17" s="1343"/>
      <c r="I17" s="4"/>
      <c r="J17" s="4"/>
      <c r="K17" s="4"/>
      <c r="L17" s="4"/>
      <c r="M17" s="4"/>
    </row>
    <row r="18" spans="1:13">
      <c r="A18" s="4"/>
      <c r="B18" s="238" t="s">
        <v>259</v>
      </c>
      <c r="C18" s="239"/>
      <c r="D18" s="1342"/>
      <c r="E18" s="1343"/>
      <c r="F18" s="1343"/>
      <c r="G18" s="1343"/>
      <c r="H18" s="1343"/>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Cadent-WM</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0" t="s">
        <v>315</v>
      </c>
      <c r="D20" s="286" t="s">
        <v>221</v>
      </c>
    </row>
    <row r="21" spans="1:4">
      <c r="A21" s="228" t="s">
        <v>284</v>
      </c>
      <c r="B21" s="290" t="s">
        <v>288</v>
      </c>
      <c r="C21" s="291" t="s">
        <v>316</v>
      </c>
      <c r="D21" s="286" t="s">
        <v>221</v>
      </c>
    </row>
    <row r="22" spans="1:4" ht="27">
      <c r="A22" s="1254" t="s">
        <v>284</v>
      </c>
      <c r="B22" s="290" t="s">
        <v>317</v>
      </c>
      <c r="C22" s="291" t="s">
        <v>318</v>
      </c>
      <c r="D22" s="292" t="s">
        <v>287</v>
      </c>
    </row>
    <row r="23" spans="1:4" ht="27">
      <c r="A23" s="1254" t="s">
        <v>284</v>
      </c>
      <c r="B23" s="290" t="s">
        <v>319</v>
      </c>
      <c r="C23" s="291" t="s">
        <v>320</v>
      </c>
      <c r="D23" s="292" t="s">
        <v>287</v>
      </c>
    </row>
    <row r="24" spans="1:4">
      <c r="A24" s="1254" t="s">
        <v>284</v>
      </c>
      <c r="B24" s="290" t="s">
        <v>321</v>
      </c>
      <c r="C24" s="291" t="s">
        <v>322</v>
      </c>
      <c r="D24" s="292" t="s">
        <v>287</v>
      </c>
    </row>
    <row r="25" spans="1:4">
      <c r="A25" s="1254" t="s">
        <v>284</v>
      </c>
      <c r="B25" s="290" t="s">
        <v>323</v>
      </c>
      <c r="C25" s="291" t="s">
        <v>324</v>
      </c>
      <c r="D25" s="292" t="s">
        <v>287</v>
      </c>
    </row>
    <row r="26" spans="1:4" ht="57.65" customHeight="1">
      <c r="A26" s="1254" t="s">
        <v>284</v>
      </c>
      <c r="B26" s="290" t="s">
        <v>325</v>
      </c>
      <c r="C26" s="291" t="s">
        <v>326</v>
      </c>
      <c r="D26" s="227" t="s">
        <v>84</v>
      </c>
    </row>
    <row r="27" spans="1:4" ht="63.65" customHeight="1">
      <c r="A27" s="1254" t="s">
        <v>284</v>
      </c>
      <c r="B27" s="290" t="s">
        <v>327</v>
      </c>
      <c r="C27" s="291" t="s">
        <v>328</v>
      </c>
      <c r="D27" s="227" t="s">
        <v>84</v>
      </c>
    </row>
    <row r="28" spans="1:4" ht="24" customHeight="1">
      <c r="A28" s="1254" t="s">
        <v>284</v>
      </c>
      <c r="B28" s="290" t="s">
        <v>329</v>
      </c>
      <c r="C28" s="291" t="s">
        <v>330</v>
      </c>
      <c r="D28" s="227" t="s">
        <v>331</v>
      </c>
    </row>
    <row r="29" spans="1:4" ht="54">
      <c r="A29" s="1254" t="s">
        <v>284</v>
      </c>
      <c r="B29" s="290" t="s">
        <v>332</v>
      </c>
      <c r="C29" s="291" t="s">
        <v>333</v>
      </c>
      <c r="D29" s="286" t="s">
        <v>334</v>
      </c>
    </row>
    <row r="30" spans="1:4">
      <c r="A30" s="1254" t="s">
        <v>284</v>
      </c>
      <c r="B30" s="290" t="s">
        <v>268</v>
      </c>
      <c r="C30" s="291" t="s">
        <v>335</v>
      </c>
      <c r="D30" s="286" t="s">
        <v>29</v>
      </c>
    </row>
    <row r="31" spans="1:4">
      <c r="A31" s="1254" t="s">
        <v>284</v>
      </c>
      <c r="B31" s="290" t="s">
        <v>336</v>
      </c>
      <c r="C31" s="291" t="s">
        <v>337</v>
      </c>
      <c r="D31" s="286" t="s">
        <v>338</v>
      </c>
    </row>
    <row r="32" spans="1:4">
      <c r="A32" s="1254" t="s">
        <v>284</v>
      </c>
      <c r="B32" s="290" t="s">
        <v>339</v>
      </c>
      <c r="C32" s="291" t="s">
        <v>340</v>
      </c>
      <c r="D32" s="286" t="s">
        <v>287</v>
      </c>
    </row>
    <row r="33" spans="1:4">
      <c r="A33" s="1254" t="s">
        <v>284</v>
      </c>
      <c r="B33" s="290" t="s">
        <v>339</v>
      </c>
      <c r="C33" s="291" t="s">
        <v>341</v>
      </c>
      <c r="D33" s="286" t="s">
        <v>287</v>
      </c>
    </row>
    <row r="34" spans="1:4">
      <c r="A34" s="1254" t="s">
        <v>284</v>
      </c>
      <c r="B34" s="290" t="s">
        <v>342</v>
      </c>
      <c r="C34" s="291" t="s">
        <v>343</v>
      </c>
      <c r="D34" s="286" t="s">
        <v>287</v>
      </c>
    </row>
    <row r="35" spans="1:4">
      <c r="A35" s="1254" t="s">
        <v>284</v>
      </c>
      <c r="B35" s="290" t="s">
        <v>344</v>
      </c>
      <c r="C35" s="291" t="s">
        <v>345</v>
      </c>
      <c r="D35" s="286" t="s">
        <v>287</v>
      </c>
    </row>
    <row r="36" spans="1:4">
      <c r="A36" s="1254" t="s">
        <v>284</v>
      </c>
      <c r="B36" s="290" t="s">
        <v>346</v>
      </c>
      <c r="C36" s="291" t="s">
        <v>347</v>
      </c>
      <c r="D36" s="286" t="s">
        <v>348</v>
      </c>
    </row>
    <row r="37" spans="1:4" ht="15" customHeight="1">
      <c r="A37" s="1254" t="s">
        <v>284</v>
      </c>
      <c r="B37" s="290" t="s">
        <v>346</v>
      </c>
      <c r="C37" s="291" t="s">
        <v>349</v>
      </c>
      <c r="D37" s="286" t="s">
        <v>348</v>
      </c>
    </row>
    <row r="38" spans="1:4" ht="17.5" customHeight="1">
      <c r="A38" s="1254" t="s">
        <v>284</v>
      </c>
      <c r="B38" s="290" t="s">
        <v>346</v>
      </c>
      <c r="C38" s="291" t="s">
        <v>350</v>
      </c>
      <c r="D38" s="286" t="s">
        <v>221</v>
      </c>
    </row>
    <row r="39" spans="1:4" ht="26.15" customHeight="1">
      <c r="A39" s="1254" t="s">
        <v>284</v>
      </c>
      <c r="B39" s="290" t="s">
        <v>346</v>
      </c>
      <c r="C39" s="291" t="s">
        <v>351</v>
      </c>
      <c r="D39" s="286" t="s">
        <v>348</v>
      </c>
    </row>
    <row r="40" spans="1:4" ht="27">
      <c r="A40" s="1254" t="s">
        <v>284</v>
      </c>
      <c r="B40" s="290" t="s">
        <v>342</v>
      </c>
      <c r="C40" s="291" t="s">
        <v>352</v>
      </c>
      <c r="D40" s="286" t="s">
        <v>221</v>
      </c>
    </row>
    <row r="41" spans="1:4" ht="27">
      <c r="A41" s="1254" t="s">
        <v>284</v>
      </c>
      <c r="B41" s="290" t="s">
        <v>353</v>
      </c>
      <c r="C41" s="291" t="s">
        <v>354</v>
      </c>
      <c r="D41" s="286" t="s">
        <v>287</v>
      </c>
    </row>
    <row r="42" spans="1:4">
      <c r="A42" s="1254" t="s">
        <v>284</v>
      </c>
      <c r="B42" s="290" t="s">
        <v>355</v>
      </c>
      <c r="C42" s="291" t="s">
        <v>356</v>
      </c>
      <c r="D42" s="286" t="s">
        <v>357</v>
      </c>
    </row>
    <row r="43" spans="1:4">
      <c r="A43" s="1254" t="s">
        <v>284</v>
      </c>
      <c r="B43" s="290" t="s">
        <v>358</v>
      </c>
      <c r="C43" s="291" t="s">
        <v>359</v>
      </c>
      <c r="D43" s="286" t="s">
        <v>287</v>
      </c>
    </row>
    <row r="44" spans="1:4">
      <c r="A44" s="1254"/>
      <c r="B44" s="148" t="s">
        <v>360</v>
      </c>
      <c r="C44" s="291" t="s">
        <v>361</v>
      </c>
      <c r="D44" s="286" t="s">
        <v>287</v>
      </c>
    </row>
    <row r="45" spans="1:4">
      <c r="A45" s="1254"/>
      <c r="B45" s="148" t="s">
        <v>362</v>
      </c>
      <c r="C45" s="291" t="s">
        <v>363</v>
      </c>
      <c r="D45" s="286" t="s">
        <v>287</v>
      </c>
    </row>
    <row r="46" spans="1:4">
      <c r="A46" s="1254" t="s">
        <v>284</v>
      </c>
      <c r="B46" s="290" t="s">
        <v>364</v>
      </c>
      <c r="C46" s="291" t="s">
        <v>365</v>
      </c>
      <c r="D46" s="286" t="s">
        <v>287</v>
      </c>
    </row>
    <row r="47" spans="1:4">
      <c r="A47" s="1254" t="s">
        <v>284</v>
      </c>
      <c r="B47" s="290" t="s">
        <v>366</v>
      </c>
      <c r="C47" s="291" t="s">
        <v>367</v>
      </c>
      <c r="D47" s="286" t="s">
        <v>287</v>
      </c>
    </row>
    <row r="48" spans="1:4">
      <c r="A48" s="1254" t="s">
        <v>284</v>
      </c>
      <c r="B48" s="290" t="s">
        <v>366</v>
      </c>
      <c r="C48" s="291" t="s">
        <v>368</v>
      </c>
      <c r="D48" s="286" t="s">
        <v>287</v>
      </c>
    </row>
    <row r="49" spans="1:4">
      <c r="A49" s="1254" t="s">
        <v>284</v>
      </c>
      <c r="B49" s="290" t="s">
        <v>366</v>
      </c>
      <c r="C49" s="291" t="s">
        <v>369</v>
      </c>
      <c r="D49" s="286" t="s">
        <v>370</v>
      </c>
    </row>
    <row r="50" spans="1:4">
      <c r="A50" s="1254" t="s">
        <v>284</v>
      </c>
      <c r="B50" s="290" t="s">
        <v>366</v>
      </c>
      <c r="C50" s="291" t="s">
        <v>371</v>
      </c>
      <c r="D50" s="286" t="s">
        <v>372</v>
      </c>
    </row>
    <row r="51" spans="1:4">
      <c r="A51" s="1254" t="s">
        <v>284</v>
      </c>
      <c r="B51" s="290" t="s">
        <v>373</v>
      </c>
      <c r="C51" s="291" t="s">
        <v>374</v>
      </c>
      <c r="D51" s="286" t="s">
        <v>375</v>
      </c>
    </row>
    <row r="52" spans="1:4">
      <c r="A52" s="1254" t="s">
        <v>284</v>
      </c>
      <c r="B52" s="290" t="s">
        <v>306</v>
      </c>
      <c r="C52" s="291" t="s">
        <v>376</v>
      </c>
      <c r="D52" s="286" t="s">
        <v>377</v>
      </c>
    </row>
    <row r="53" spans="1:4">
      <c r="A53" s="1254" t="s">
        <v>284</v>
      </c>
      <c r="B53" s="290" t="s">
        <v>378</v>
      </c>
      <c r="C53" s="291" t="s">
        <v>379</v>
      </c>
      <c r="D53" s="286" t="s">
        <v>377</v>
      </c>
    </row>
    <row r="54" spans="1:4">
      <c r="A54" s="1254" t="s">
        <v>284</v>
      </c>
      <c r="B54" s="290" t="s">
        <v>380</v>
      </c>
      <c r="C54" s="291" t="s">
        <v>381</v>
      </c>
      <c r="D54" s="227" t="s">
        <v>287</v>
      </c>
    </row>
    <row r="55" spans="1:4" ht="54">
      <c r="A55" s="1254" t="s">
        <v>382</v>
      </c>
      <c r="B55" s="290" t="s">
        <v>383</v>
      </c>
      <c r="C55" s="291" t="s">
        <v>384</v>
      </c>
      <c r="D55" s="292" t="s">
        <v>287</v>
      </c>
    </row>
    <row r="56" spans="1:4" ht="67.5">
      <c r="A56" s="1254" t="s">
        <v>382</v>
      </c>
      <c r="B56" s="290" t="s">
        <v>385</v>
      </c>
      <c r="C56" s="291" t="s">
        <v>386</v>
      </c>
      <c r="D56" s="292" t="s">
        <v>287</v>
      </c>
    </row>
    <row r="57" spans="1:4">
      <c r="A57" s="1254" t="s">
        <v>382</v>
      </c>
      <c r="B57" s="290" t="s">
        <v>387</v>
      </c>
      <c r="C57" s="291" t="s">
        <v>388</v>
      </c>
      <c r="D57" s="292" t="s">
        <v>287</v>
      </c>
    </row>
    <row r="58" spans="1:4">
      <c r="A58" s="1254" t="s">
        <v>382</v>
      </c>
      <c r="B58" s="290" t="s">
        <v>373</v>
      </c>
      <c r="C58" s="291" t="s">
        <v>389</v>
      </c>
      <c r="D58" s="292" t="s">
        <v>287</v>
      </c>
    </row>
    <row r="59" spans="1:4">
      <c r="A59" s="1254" t="s">
        <v>382</v>
      </c>
      <c r="B59" s="290" t="s">
        <v>390</v>
      </c>
      <c r="C59" s="291" t="s">
        <v>391</v>
      </c>
      <c r="D59" s="292" t="s">
        <v>392</v>
      </c>
    </row>
    <row r="60" spans="1:4" ht="27">
      <c r="A60" s="1254" t="s">
        <v>382</v>
      </c>
      <c r="B60" s="290" t="s">
        <v>342</v>
      </c>
      <c r="C60" s="291" t="s">
        <v>393</v>
      </c>
      <c r="D60" s="292" t="s">
        <v>392</v>
      </c>
    </row>
    <row r="61" spans="1:4">
      <c r="A61" s="1254" t="s">
        <v>382</v>
      </c>
      <c r="B61" s="290" t="s">
        <v>394</v>
      </c>
      <c r="C61" s="291" t="s">
        <v>395</v>
      </c>
      <c r="D61" s="292" t="s">
        <v>396</v>
      </c>
    </row>
    <row r="62" spans="1:4">
      <c r="A62" s="1254" t="s">
        <v>382</v>
      </c>
      <c r="B62" s="290" t="s">
        <v>383</v>
      </c>
      <c r="C62" s="291" t="s">
        <v>397</v>
      </c>
      <c r="D62" s="292" t="s">
        <v>221</v>
      </c>
    </row>
    <row r="63" spans="1:4">
      <c r="A63" s="1254" t="s">
        <v>382</v>
      </c>
      <c r="B63" s="290" t="s">
        <v>398</v>
      </c>
      <c r="C63" s="291" t="s">
        <v>399</v>
      </c>
      <c r="D63" s="292" t="s">
        <v>287</v>
      </c>
    </row>
    <row r="64" spans="1:4">
      <c r="A64" s="1254" t="s">
        <v>382</v>
      </c>
      <c r="B64" s="290" t="s">
        <v>277</v>
      </c>
      <c r="C64" s="291" t="s">
        <v>400</v>
      </c>
      <c r="D64" s="292" t="s">
        <v>287</v>
      </c>
    </row>
    <row r="65" spans="1:4">
      <c r="A65" s="1254" t="s">
        <v>382</v>
      </c>
      <c r="B65" s="290" t="s">
        <v>277</v>
      </c>
      <c r="C65" s="291" t="s">
        <v>401</v>
      </c>
      <c r="D65" s="292" t="s">
        <v>287</v>
      </c>
    </row>
    <row r="66" spans="1:4">
      <c r="A66" s="1254" t="s">
        <v>382</v>
      </c>
      <c r="B66" s="290" t="s">
        <v>278</v>
      </c>
      <c r="C66" s="291" t="s">
        <v>402</v>
      </c>
      <c r="D66" s="292" t="s">
        <v>287</v>
      </c>
    </row>
    <row r="67" spans="1:4">
      <c r="A67" s="1254" t="s">
        <v>382</v>
      </c>
      <c r="B67" s="290" t="s">
        <v>339</v>
      </c>
      <c r="C67" s="291" t="s">
        <v>403</v>
      </c>
      <c r="D67" s="292" t="s">
        <v>287</v>
      </c>
    </row>
    <row r="68" spans="1:4">
      <c r="A68" s="1254" t="s">
        <v>404</v>
      </c>
      <c r="B68" s="290" t="s">
        <v>405</v>
      </c>
      <c r="C68" s="291" t="s">
        <v>406</v>
      </c>
      <c r="D68" s="292" t="s">
        <v>287</v>
      </c>
    </row>
    <row r="69" spans="1:4">
      <c r="A69" s="1254" t="s">
        <v>404</v>
      </c>
      <c r="B69" s="290" t="s">
        <v>407</v>
      </c>
      <c r="C69" s="291" t="s">
        <v>408</v>
      </c>
      <c r="D69" s="292" t="s">
        <v>287</v>
      </c>
    </row>
    <row r="70" spans="1:4">
      <c r="A70" s="1254" t="s">
        <v>404</v>
      </c>
      <c r="B70" s="1203" t="s">
        <v>407</v>
      </c>
      <c r="C70" s="291" t="s">
        <v>409</v>
      </c>
      <c r="D70" s="292" t="s">
        <v>287</v>
      </c>
    </row>
    <row r="71" spans="1:4">
      <c r="A71" s="1254" t="s">
        <v>404</v>
      </c>
      <c r="B71" s="1203" t="s">
        <v>407</v>
      </c>
      <c r="C71" s="291" t="s">
        <v>410</v>
      </c>
      <c r="D71" s="292" t="s">
        <v>287</v>
      </c>
    </row>
    <row r="72" spans="1:4">
      <c r="A72" s="1254" t="s">
        <v>404</v>
      </c>
      <c r="B72" s="1203" t="s">
        <v>407</v>
      </c>
      <c r="C72" s="291" t="s">
        <v>411</v>
      </c>
      <c r="D72" s="292" t="s">
        <v>287</v>
      </c>
    </row>
    <row r="73" spans="1:4" ht="27">
      <c r="A73" s="1254" t="s">
        <v>404</v>
      </c>
      <c r="B73" s="1203" t="s">
        <v>412</v>
      </c>
      <c r="C73" s="291" t="s">
        <v>413</v>
      </c>
      <c r="D73" s="292" t="s">
        <v>287</v>
      </c>
    </row>
    <row r="74" spans="1:4" ht="27">
      <c r="A74" s="1254" t="s">
        <v>414</v>
      </c>
      <c r="B74" s="1203" t="s">
        <v>415</v>
      </c>
      <c r="C74" s="291" t="s">
        <v>416</v>
      </c>
      <c r="D74" s="292" t="s">
        <v>417</v>
      </c>
    </row>
    <row r="75" spans="1:4" ht="27">
      <c r="A75" s="1254" t="s">
        <v>414</v>
      </c>
      <c r="B75" s="1203" t="s">
        <v>418</v>
      </c>
      <c r="C75" s="291" t="s">
        <v>419</v>
      </c>
      <c r="D75" s="292" t="s">
        <v>417</v>
      </c>
    </row>
    <row r="76" spans="1:4">
      <c r="A76" s="1254" t="s">
        <v>414</v>
      </c>
      <c r="B76" s="1203" t="s">
        <v>420</v>
      </c>
      <c r="C76" s="291" t="s">
        <v>421</v>
      </c>
      <c r="D76" s="292" t="s">
        <v>422</v>
      </c>
    </row>
    <row r="77" spans="1:4" ht="27">
      <c r="A77" s="1254" t="s">
        <v>414</v>
      </c>
      <c r="B77" s="1213" t="s">
        <v>423</v>
      </c>
      <c r="C77" s="1221" t="s">
        <v>424</v>
      </c>
      <c r="D77" s="1214" t="s">
        <v>422</v>
      </c>
    </row>
    <row r="78" spans="1:4" ht="54">
      <c r="A78" s="1254" t="s">
        <v>414</v>
      </c>
      <c r="B78" s="290" t="s">
        <v>425</v>
      </c>
      <c r="C78" s="291" t="s">
        <v>426</v>
      </c>
      <c r="D78" s="227" t="s">
        <v>287</v>
      </c>
    </row>
    <row r="79" spans="1:4">
      <c r="A79" s="1254" t="s">
        <v>414</v>
      </c>
      <c r="B79" s="290" t="s">
        <v>427</v>
      </c>
      <c r="C79" s="291" t="s">
        <v>428</v>
      </c>
      <c r="D79" s="227" t="s">
        <v>287</v>
      </c>
    </row>
    <row r="80" spans="1:4">
      <c r="A80" s="1254" t="s">
        <v>414</v>
      </c>
      <c r="B80" s="290" t="s">
        <v>332</v>
      </c>
      <c r="C80" s="291" t="s">
        <v>429</v>
      </c>
      <c r="D80" s="227" t="s">
        <v>287</v>
      </c>
    </row>
    <row r="81" spans="1:4">
      <c r="A81" s="1254" t="s">
        <v>414</v>
      </c>
      <c r="B81" s="290" t="s">
        <v>332</v>
      </c>
      <c r="C81" s="291" t="s">
        <v>430</v>
      </c>
      <c r="D81" s="227" t="s">
        <v>287</v>
      </c>
    </row>
    <row r="82" spans="1:4">
      <c r="A82" s="1254" t="s">
        <v>414</v>
      </c>
      <c r="B82" s="290" t="s">
        <v>431</v>
      </c>
      <c r="C82" s="291" t="s">
        <v>432</v>
      </c>
      <c r="D82" s="227" t="s">
        <v>287</v>
      </c>
    </row>
    <row r="83" spans="1:4" ht="27">
      <c r="A83" s="1254" t="s">
        <v>414</v>
      </c>
      <c r="B83" s="290" t="s">
        <v>433</v>
      </c>
      <c r="C83" s="291" t="s">
        <v>434</v>
      </c>
      <c r="D83" s="227" t="s">
        <v>287</v>
      </c>
    </row>
    <row r="84" spans="1:4">
      <c r="A84" s="1263" t="s">
        <v>414</v>
      </c>
      <c r="B84" s="1218" t="s">
        <v>435</v>
      </c>
      <c r="C84" s="1221" t="s">
        <v>436</v>
      </c>
      <c r="D84" s="227" t="s">
        <v>287</v>
      </c>
    </row>
    <row r="85" spans="1:4">
      <c r="A85" s="1254" t="s">
        <v>414</v>
      </c>
      <c r="B85" s="290" t="s">
        <v>278</v>
      </c>
      <c r="C85" s="1222" t="s">
        <v>437</v>
      </c>
      <c r="D85" s="227" t="s">
        <v>287</v>
      </c>
    </row>
    <row r="86" spans="1:4">
      <c r="A86" s="1255" t="s">
        <v>438</v>
      </c>
      <c r="B86" s="1218" t="s">
        <v>306</v>
      </c>
      <c r="C86" s="1223" t="s">
        <v>439</v>
      </c>
      <c r="D86" s="227" t="s">
        <v>287</v>
      </c>
    </row>
    <row r="87" spans="1:4">
      <c r="A87" s="1255" t="s">
        <v>438</v>
      </c>
      <c r="B87" s="1238" t="s">
        <v>440</v>
      </c>
      <c r="C87" s="1224" t="s">
        <v>441</v>
      </c>
      <c r="D87" s="123" t="s">
        <v>442</v>
      </c>
    </row>
    <row r="88" spans="1:4">
      <c r="A88" s="1255" t="s">
        <v>438</v>
      </c>
      <c r="B88" s="290" t="s">
        <v>443</v>
      </c>
      <c r="C88" s="1236" t="s">
        <v>444</v>
      </c>
      <c r="D88" s="1237" t="s">
        <v>287</v>
      </c>
    </row>
    <row r="89" spans="1:4">
      <c r="A89" s="1255" t="s">
        <v>438</v>
      </c>
      <c r="B89" s="290" t="s">
        <v>445</v>
      </c>
      <c r="C89" s="1222" t="s">
        <v>446</v>
      </c>
      <c r="D89" s="227" t="s">
        <v>447</v>
      </c>
    </row>
    <row r="90" spans="1:4" ht="40.5">
      <c r="A90" s="1255" t="s">
        <v>438</v>
      </c>
      <c r="B90" s="1229" t="s">
        <v>448</v>
      </c>
      <c r="C90" s="1239" t="s">
        <v>449</v>
      </c>
      <c r="D90" s="202" t="s">
        <v>447</v>
      </c>
    </row>
    <row r="91" spans="1:4" ht="27">
      <c r="A91" s="1255" t="s">
        <v>438</v>
      </c>
      <c r="B91" s="1249" t="s">
        <v>450</v>
      </c>
      <c r="C91" s="1256" t="s">
        <v>451</v>
      </c>
      <c r="D91" s="1251" t="s">
        <v>452</v>
      </c>
    </row>
    <row r="92" spans="1:4">
      <c r="A92" s="1255" t="s">
        <v>438</v>
      </c>
      <c r="B92" s="1249" t="s">
        <v>453</v>
      </c>
      <c r="C92" s="123" t="s">
        <v>454</v>
      </c>
      <c r="D92" s="123" t="s">
        <v>455</v>
      </c>
    </row>
    <row r="93" spans="1:4" ht="27">
      <c r="A93" s="1255" t="s">
        <v>438</v>
      </c>
      <c r="B93" s="1249" t="s">
        <v>456</v>
      </c>
      <c r="C93" s="1250" t="s">
        <v>457</v>
      </c>
      <c r="D93" s="123" t="s">
        <v>455</v>
      </c>
    </row>
    <row r="94" spans="1:4" ht="27">
      <c r="A94" s="1255" t="s">
        <v>438</v>
      </c>
      <c r="B94" s="1249" t="s">
        <v>458</v>
      </c>
      <c r="C94" s="1250" t="s">
        <v>459</v>
      </c>
      <c r="D94" s="123" t="s">
        <v>460</v>
      </c>
    </row>
    <row r="95" spans="1:4">
      <c r="A95" s="1255" t="s">
        <v>438</v>
      </c>
      <c r="B95" s="1249" t="s">
        <v>461</v>
      </c>
      <c r="C95" s="1250" t="s">
        <v>462</v>
      </c>
      <c r="D95" s="123" t="s">
        <v>460</v>
      </c>
    </row>
    <row r="96" spans="1:4">
      <c r="A96" s="1255" t="s">
        <v>438</v>
      </c>
      <c r="B96" s="1249" t="s">
        <v>323</v>
      </c>
      <c r="C96" s="1250" t="s">
        <v>463</v>
      </c>
      <c r="D96" s="123" t="s">
        <v>464</v>
      </c>
    </row>
    <row r="97" spans="1:4" ht="126" customHeight="1">
      <c r="A97" s="1255" t="s">
        <v>438</v>
      </c>
      <c r="B97" s="1249" t="s">
        <v>260</v>
      </c>
      <c r="C97" s="1250" t="s">
        <v>465</v>
      </c>
      <c r="D97" s="1252" t="s">
        <v>466</v>
      </c>
    </row>
    <row r="98" spans="1:4" ht="46.5" customHeight="1">
      <c r="A98" s="1255" t="s">
        <v>438</v>
      </c>
      <c r="B98" s="1249" t="s">
        <v>467</v>
      </c>
      <c r="C98" s="1253" t="s">
        <v>468</v>
      </c>
      <c r="D98" s="1252" t="s">
        <v>464</v>
      </c>
    </row>
    <row r="99" spans="1:4">
      <c r="A99" s="1255" t="s">
        <v>438</v>
      </c>
      <c r="B99" s="1249" t="s">
        <v>339</v>
      </c>
      <c r="C99" s="1253" t="s">
        <v>469</v>
      </c>
      <c r="D99" s="1252" t="s">
        <v>470</v>
      </c>
    </row>
    <row r="100" spans="1:4">
      <c r="A100" s="1255" t="s">
        <v>438</v>
      </c>
      <c r="B100" s="1249" t="s">
        <v>471</v>
      </c>
      <c r="C100" s="1253" t="s">
        <v>472</v>
      </c>
      <c r="D100" s="1252" t="s">
        <v>287</v>
      </c>
    </row>
    <row r="101" spans="1:4">
      <c r="A101" s="1255" t="s">
        <v>438</v>
      </c>
      <c r="B101" s="1249" t="s">
        <v>323</v>
      </c>
      <c r="C101" s="1253" t="s">
        <v>473</v>
      </c>
      <c r="D101" s="1252" t="s">
        <v>287</v>
      </c>
    </row>
    <row r="102" spans="1:4">
      <c r="A102" s="1255" t="s">
        <v>438</v>
      </c>
      <c r="B102" s="1249" t="s">
        <v>323</v>
      </c>
      <c r="C102" s="1253" t="s">
        <v>474</v>
      </c>
      <c r="D102" s="1252" t="s">
        <v>475</v>
      </c>
    </row>
    <row r="103" spans="1:4">
      <c r="A103" s="1255" t="s">
        <v>438</v>
      </c>
      <c r="B103" s="1249" t="s">
        <v>277</v>
      </c>
      <c r="C103" s="1253" t="s">
        <v>476</v>
      </c>
      <c r="D103" s="1252" t="s">
        <v>287</v>
      </c>
    </row>
    <row r="104" spans="1:4" ht="27">
      <c r="A104" s="1255" t="s">
        <v>438</v>
      </c>
      <c r="B104" s="1249" t="s">
        <v>477</v>
      </c>
      <c r="C104" s="1253" t="s">
        <v>478</v>
      </c>
      <c r="D104" s="1252" t="s">
        <v>287</v>
      </c>
    </row>
    <row r="105" spans="1:4" ht="27">
      <c r="A105" s="1255" t="s">
        <v>438</v>
      </c>
      <c r="B105" s="1249" t="s">
        <v>265</v>
      </c>
      <c r="C105" s="1253" t="s">
        <v>479</v>
      </c>
      <c r="D105" s="1252" t="s">
        <v>287</v>
      </c>
    </row>
    <row r="106" spans="1:4">
      <c r="A106" s="1255" t="s">
        <v>438</v>
      </c>
      <c r="B106" s="1249" t="s">
        <v>480</v>
      </c>
      <c r="C106" s="1253" t="s">
        <v>481</v>
      </c>
      <c r="D106" s="1252"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activeCell="A6" sqref="A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Cadent-WM</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5.2833944000000001E-2</v>
      </c>
      <c r="G11" s="71">
        <f>IFERROR(Equity_Return_on_the_RAV/NPV_neutral_equity_element_of_RAV,0)</f>
        <v>5.5875458000000003E-2</v>
      </c>
      <c r="H11" s="71">
        <f>IFERROR(Equity_Return_on_the_RAV/NPV_neutral_equity_element_of_RAV,0)</f>
        <v>5.5175426999999992E-2</v>
      </c>
      <c r="I11" s="369"/>
      <c r="J11" s="72">
        <f>IFERROR(AVERAGE(D65:INDEX(D65:H65,0,MATCH('RFPR cover'!$C$9,$D$6:$H$6,0)))/AVERAGE($D$90:INDEX($D$90:$H$90,0,MATCH('RFPR cover'!$C$9,$D$6:$H$6,0))),0)</f>
        <v>4.7875285960035222E-2</v>
      </c>
      <c r="K11" s="72">
        <f t="shared" ref="K11:K21" si="2">IFERROR(AVERAGE(D65:H65)/AVERAGE($D$90:$H$90),0)</f>
        <v>5.0958156478817414E-2</v>
      </c>
    </row>
    <row r="12" spans="1:20">
      <c r="B12" s="178" t="str">
        <f t="shared" ref="B12:B18" si="3">B66</f>
        <v>Totex outperformance</v>
      </c>
      <c r="C12" s="177" t="s">
        <v>486</v>
      </c>
      <c r="D12" s="71">
        <f>IFERROR(Totex_outperformance/NPV_neutral_equity_element_of_RAV,0)</f>
        <v>1.95081201254107E-2</v>
      </c>
      <c r="E12" s="71">
        <f>IFERROR(Totex_outperformance/NPV_neutral_equity_element_of_RAV,0)</f>
        <v>6.895463748913434E-3</v>
      </c>
      <c r="F12" s="71">
        <f>IFERROR(Totex_outperformance/NPV_neutral_equity_element_of_RAV,0)</f>
        <v>1.4647732817500362E-3</v>
      </c>
      <c r="G12" s="71">
        <f>IFERROR(Totex_outperformance/NPV_neutral_equity_element_of_RAV,0)</f>
        <v>-4.4583515594671845E-3</v>
      </c>
      <c r="H12" s="71">
        <f>IFERROR(Totex_outperformance/NPV_neutral_equity_element_of_RAV,0)</f>
        <v>3.3242526165898467E-3</v>
      </c>
      <c r="I12" s="369"/>
      <c r="J12" s="72">
        <f>IFERROR(AVERAGE(D66:INDEX(D66:H66,0,MATCH('RFPR cover'!$C$9,$D$6:$H$6,0)))/AVERAGE($D$90:INDEX($D$90:$H$90,0,MATCH('RFPR cover'!$C$9,$D$6:$H$6,0))),0)</f>
        <v>9.2505635905803778E-3</v>
      </c>
      <c r="K12" s="72">
        <f t="shared" si="2"/>
        <v>5.2978098634340002E-3</v>
      </c>
      <c r="M12" s="369"/>
    </row>
    <row r="13" spans="1:20">
      <c r="A13" s="370" t="s">
        <v>487</v>
      </c>
      <c r="B13" s="178" t="str">
        <f t="shared" si="3"/>
        <v>Business Plan Incentive</v>
      </c>
      <c r="C13" s="177" t="s">
        <v>486</v>
      </c>
      <c r="D13" s="71">
        <f>IFERROR(Business_Plan_Incentive/NPV_neutral_equity_element_of_RAV,0)</f>
        <v>-1.0261292075676044E-5</v>
      </c>
      <c r="E13" s="71">
        <f>IFERROR(Business_Plan_Incentive/NPV_neutral_equity_element_of_RAV,0)</f>
        <v>-1.0174766928602464E-5</v>
      </c>
      <c r="F13" s="71">
        <f>IFERROR(Business_Plan_Incentive/NPV_neutral_equity_element_of_RAV,0)</f>
        <v>-1.0135488268368759E-5</v>
      </c>
      <c r="G13" s="71">
        <f>IFERROR(Business_Plan_Incentive/NPV_neutral_equity_element_of_RAV,0)</f>
        <v>-1.0088513995338937E-5</v>
      </c>
      <c r="H13" s="71">
        <f>IFERROR(Business_Plan_Incentive/NPV_neutral_equity_element_of_RAV,0)</f>
        <v>-1.0036848591765337E-5</v>
      </c>
      <c r="I13" s="369"/>
      <c r="J13" s="72">
        <f>IFERROR(AVERAGE(D67:INDEX(D67:H67,0,MATCH('RFPR cover'!$C$9,$D$6:$H$6,0)))/AVERAGE($D$90:INDEX($D$90:$H$90,0,MATCH('RFPR cover'!$C$9,$D$6:$H$6,0))),0)</f>
        <v>-1.0190245329937503E-5</v>
      </c>
      <c r="K13" s="72">
        <f t="shared" si="2"/>
        <v>-1.013880663419793E-5</v>
      </c>
    </row>
    <row r="14" spans="1:20">
      <c r="A14" s="370" t="s">
        <v>488</v>
      </c>
      <c r="B14" s="178" t="str">
        <f t="shared" si="3"/>
        <v>Customer Satisfaction Survey ODI - (SpC 4.2)</v>
      </c>
      <c r="C14" s="177" t="s">
        <v>486</v>
      </c>
      <c r="D14" s="71">
        <f>IFERROR(ODI_1/NPV_neutral_equity_element_of_RAV,0)</f>
        <v>1.1673849955227804E-3</v>
      </c>
      <c r="E14" s="71">
        <f>IFERROR(ODI_1/NPV_neutral_equity_element_of_RAV,0)</f>
        <v>1.3389152169127039E-3</v>
      </c>
      <c r="F14" s="71">
        <f>IFERROR(ODI_1/NPV_neutral_equity_element_of_RAV,0)</f>
        <v>1.380930997717822E-3</v>
      </c>
      <c r="G14" s="71">
        <f>IFERROR(ODI_1/NPV_neutral_equity_element_of_RAV,0)</f>
        <v>1.8612415470578945E-3</v>
      </c>
      <c r="H14" s="71">
        <f>IFERROR(ODI_1/NPV_neutral_equity_element_of_RAV,0)</f>
        <v>1.980046055776201E-3</v>
      </c>
      <c r="I14" s="369"/>
      <c r="J14" s="72">
        <f>IFERROR(AVERAGE(D68:INDEX(D68:H68,0,MATCH('RFPR cover'!$C$9,$D$6:$H$6,0)))/AVERAGE($D$90:INDEX($D$90:$H$90,0,MATCH('RFPR cover'!$C$9,$D$6:$H$6,0))),0)</f>
        <v>1.2962152784072646E-3</v>
      </c>
      <c r="K14" s="72">
        <f t="shared" si="2"/>
        <v>1.5479393559390358E-3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5.2576186083258688E-4</v>
      </c>
      <c r="E18" s="71">
        <f>IFERROR(ODI_5/NPV_neutral_equity_element_of_RAV,0)</f>
        <v>5.2132853781646741E-4</v>
      </c>
      <c r="F18" s="71">
        <f>IFERROR(ODI_5/NPV_neutral_equity_element_of_RAV,0)</f>
        <v>-5.1931600164234991E-4</v>
      </c>
      <c r="G18" s="71">
        <f>IFERROR(ODI_5/NPV_neutral_equity_element_of_RAV,0)</f>
        <v>-5.169091623264746E-4</v>
      </c>
      <c r="H18" s="71">
        <f>IFERROR(ODI_5/NPV_neutral_equity_element_of_RAV,0)</f>
        <v>-5.1426196170854127E-4</v>
      </c>
      <c r="I18" s="369"/>
      <c r="J18" s="72">
        <f>IFERROR(AVERAGE(D72:INDEX(D72:H72,0,MATCH('RFPR cover'!$C$9,$D$6:$H$6,0)))/AVERAGE($D$90:INDEX($D$90:$H$90,0,MATCH('RFPR cover'!$C$9,$D$6:$H$6,0))),0)</f>
        <v>1.7404053691927622E-4</v>
      </c>
      <c r="K18" s="72">
        <f t="shared" si="2"/>
        <v>-1.0389720521168354E-4</v>
      </c>
    </row>
    <row r="19" spans="1:11">
      <c r="A19" s="370" t="s">
        <v>493</v>
      </c>
      <c r="B19" s="178" t="str">
        <f>B73</f>
        <v>Collaborative streetworks ODI [Cadent Lon &amp; EoE, SGN So only]- (SpC 4.7)</v>
      </c>
      <c r="C19" s="177" t="s">
        <v>486</v>
      </c>
      <c r="D19" s="71">
        <f>IFERROR(ODI_6/NPV_neutral_equity_element_of_RAV,0)</f>
        <v>0</v>
      </c>
      <c r="E19" s="71">
        <f>IFERROR(ODI_6/NPV_neutral_equity_element_of_RAV,0)</f>
        <v>0</v>
      </c>
      <c r="F19" s="71">
        <f>IFERROR(ODI_6/NPV_neutral_equity_element_of_RAV,0)</f>
        <v>0</v>
      </c>
      <c r="G19" s="71">
        <f>IFERROR(ODI_6/NPV_neutral_equity_element_of_RAV,0)</f>
        <v>0</v>
      </c>
      <c r="H19" s="71">
        <f>IFERROR(ODI_6/NPV_neutral_equity_element_of_RAV,0)</f>
        <v>0</v>
      </c>
      <c r="I19" s="369"/>
      <c r="J19" s="72">
        <f>IFERROR(AVERAGE(D73:INDEX(D73:H73,0,MATCH('RFPR cover'!$C$9,$D$6:$H$6,0)))/AVERAGE($D$90:INDEX($D$90:$H$90,0,MATCH('RFPR cover'!$C$9,$D$6:$H$6,0))),0)</f>
        <v>0</v>
      </c>
      <c r="K19" s="72">
        <f t="shared" si="2"/>
        <v>0</v>
      </c>
    </row>
    <row r="20" spans="1:11">
      <c r="A20" s="370" t="s">
        <v>494</v>
      </c>
      <c r="B20" s="178" t="str">
        <f t="shared" ref="B20" si="4">B74</f>
        <v>Network innovation input for RORE</v>
      </c>
      <c r="C20" s="177" t="s">
        <v>486</v>
      </c>
      <c r="D20" s="71">
        <f>IFERROR(ORA_1/NPV_neutral_equity_element_of_RAV,0)</f>
        <v>-1.4453934318421632E-4</v>
      </c>
      <c r="E20" s="71">
        <f>IFERROR(ORA_1/NPV_neutral_equity_element_of_RAV,0)</f>
        <v>-1.4332056022445838E-4</v>
      </c>
      <c r="F20" s="71">
        <f>IFERROR(ORA_1/NPV_neutral_equity_element_of_RAV,0)</f>
        <v>-1.4276728567487281E-4</v>
      </c>
      <c r="G20" s="71">
        <f>IFERROR(ORA_1/NPV_neutral_equity_element_of_RAV,0)</f>
        <v>-1.4210561163614422E-4</v>
      </c>
      <c r="H20" s="71">
        <f>IFERROR(ORA_1/NPV_neutral_equity_element_of_RAV,0)</f>
        <v>-1.4137785888894606E-4</v>
      </c>
      <c r="I20" s="369"/>
      <c r="J20" s="72">
        <f>IFERROR(AVERAGE(D74:INDEX(D74:H74,0,MATCH('RFPR cover'!$C$9,$D$6:$H$6,0)))/AVERAGE($D$90:INDEX($D$90:$H$90,0,MATCH('RFPR cover'!$C$9,$D$6:$H$6,0))),0)</f>
        <v>-1.4353858714991855E-4</v>
      </c>
      <c r="K20" s="72">
        <f t="shared" si="2"/>
        <v>-1.4281402778238287E-4</v>
      </c>
    </row>
    <row r="21" spans="1:11">
      <c r="A21" s="370" t="s">
        <v>495</v>
      </c>
      <c r="B21" s="178" t="str">
        <f t="shared" ref="B21" si="5">B75</f>
        <v>Carry-over Network innovation input for RORE</v>
      </c>
      <c r="C21" s="177" t="s">
        <v>486</v>
      </c>
      <c r="D21" s="71">
        <f>IFERROR(ORA_2/NPV_neutral_equity_element_of_RAV,0)</f>
        <v>-8.0961988162307094E-5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-2.6800475537549047E-5</v>
      </c>
      <c r="K21" s="72">
        <f t="shared" si="2"/>
        <v>-1.5999114665952491E-5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-1.2443402290774174E-3</v>
      </c>
      <c r="E28" s="371">
        <f>IFERROR(Penalties_and_fines/NPV_neutral_equity_element_of_RAV,0)</f>
        <v>-1.2437982607876711E-3</v>
      </c>
      <c r="F28" s="371">
        <f>IFERROR(Penalties_and_fines/NPV_neutral_equity_element_of_RAV,0)</f>
        <v>-8.180294842135504E-4</v>
      </c>
      <c r="G28" s="371">
        <f>IFERROR(Penalties_and_fines/NPV_neutral_equity_element_of_RAV,0)</f>
        <v>-4.3549348027012972E-4</v>
      </c>
      <c r="H28" s="371">
        <f>IFERROR(Penalties_and_fines/NPV_neutral_equity_element_of_RAV,0)</f>
        <v>-4.267024504519779E-4</v>
      </c>
      <c r="I28" s="369"/>
      <c r="J28" s="72">
        <f>IFERROR(AVERAGE(D82:INDEX(D82:H82,0,MATCH('RFPR cover'!$C$9,$D$6:$H$6,0)))/AVERAGE($D$90:INDEX($D$90:$H$90,0,MATCH('RFPR cover'!$C$9,$D$6:$H$6,0))),0)</f>
        <v>-1.101288000727548E-3</v>
      </c>
      <c r="K28" s="72">
        <f t="shared" si="7"/>
        <v>-8.3117763280743493E-4</v>
      </c>
    </row>
    <row r="29" spans="1:11" ht="14" thickBot="1">
      <c r="B29" s="179" t="str">
        <f t="shared" si="8"/>
        <v>RoRE - Operational performance</v>
      </c>
      <c r="C29" s="69" t="s">
        <v>486</v>
      </c>
      <c r="D29" s="166">
        <f>SUM(D11:D28)</f>
        <v>6.4903045129266451E-2</v>
      </c>
      <c r="E29" s="167">
        <f t="shared" ref="E29:H29" si="9">SUM(E11:E28)</f>
        <v>5.2926518915701867E-2</v>
      </c>
      <c r="F29" s="167">
        <f t="shared" si="9"/>
        <v>5.418940001966871E-2</v>
      </c>
      <c r="G29" s="167">
        <f t="shared" si="9"/>
        <v>5.2173751219362623E-2</v>
      </c>
      <c r="H29" s="168">
        <f t="shared" si="9"/>
        <v>5.9387346552724818E-2</v>
      </c>
      <c r="I29" s="372"/>
      <c r="J29" s="170">
        <f>SUM(J11:J28)</f>
        <v>5.7314288057197189E-2</v>
      </c>
      <c r="K29" s="168">
        <f>SUM(K11:K28)</f>
        <v>5.669987891108879E-2</v>
      </c>
    </row>
    <row r="30" spans="1:11">
      <c r="B30" s="178" t="str">
        <f t="shared" si="8"/>
        <v>Debt performance - at notional gearing</v>
      </c>
      <c r="C30" s="177" t="s">
        <v>486</v>
      </c>
      <c r="D30" s="373">
        <f>IFERROR(Debt_performance___at_notional_gearing/NPV_neutral_equity_element_of_RAV,0)</f>
        <v>2.5898934778658022E-2</v>
      </c>
      <c r="E30" s="373">
        <f>IFERROR(Debt_performance___at_notional_gearing/NPV_neutral_equity_element_of_RAV,0)</f>
        <v>6.3957029923584444E-2</v>
      </c>
      <c r="F30" s="373">
        <f>IFERROR(Debt_performance___at_notional_gearing/NPV_neutral_equity_element_of_RAV,0)</f>
        <v>5.0324872029094414E-2</v>
      </c>
      <c r="G30" s="373">
        <f>IFERROR(Debt_performance___at_notional_gearing/NPV_neutral_equity_element_of_RAV,0)</f>
        <v>1.0952455508674413E-2</v>
      </c>
      <c r="H30" s="373">
        <f>IFERROR(Debt_performance___at_notional_gearing/NPV_neutral_equity_element_of_RAV,0)</f>
        <v>7.2550275642022349E-4</v>
      </c>
      <c r="I30" s="369"/>
      <c r="J30" s="169">
        <f>IFERROR(AVERAGE(D84:INDEX(D84:H84,0,MATCH('RFPR cover'!$C$9,$D$6:$H$6,0)))/AVERAGE($D$90:INDEX($D$90:$H$90,0,MATCH('RFPR cover'!$C$9,$D$6:$H$6,0))),0)</f>
        <v>4.6790231360414707E-2</v>
      </c>
      <c r="K30" s="169">
        <f>IFERROR(AVERAGE(D84:H84)/AVERAGE($D$90:$H$90),0)</f>
        <v>3.0280410683993484E-2</v>
      </c>
    </row>
    <row r="31" spans="1:11" ht="14" thickBot="1">
      <c r="B31" s="178" t="str">
        <f>B86</f>
        <v>Tax performance - at notional gearing</v>
      </c>
      <c r="C31" s="177" t="s">
        <v>486</v>
      </c>
      <c r="D31" s="371">
        <f>IFERROR(Tax_performance___at_notional_gearing/NPV_neutral_equity_element_of_RAV,0)</f>
        <v>1.6464307639886511E-3</v>
      </c>
      <c r="E31" s="371">
        <f>IFERROR(Tax_performance___at_notional_gearing/NPV_neutral_equity_element_of_RAV,0)</f>
        <v>2.384610017907306E-3</v>
      </c>
      <c r="F31" s="371">
        <f>IFERROR(Tax_performance___at_notional_gearing/NPV_neutral_equity_element_of_RAV,0)</f>
        <v>1.9155086015873238E-3</v>
      </c>
      <c r="G31" s="371">
        <f>IFERROR(Tax_performance___at_notional_gearing/NPV_neutral_equity_element_of_RAV,0)</f>
        <v>1.7848293875634559E-2</v>
      </c>
      <c r="H31" s="371">
        <f>IFERROR(Tax_performance___at_notional_gearing/NPV_neutral_equity_element_of_RAV,0)</f>
        <v>5.9373601534206781E-3</v>
      </c>
      <c r="I31" s="369"/>
      <c r="J31" s="33">
        <f>IFERROR(AVERAGE(D86:INDEX(D86:H86,0,MATCH('RFPR cover'!$C$9,$D$6:$H$6,0)))/AVERAGE($D$90:INDEX($D$90:$H$90,0,MATCH('RFPR cover'!$C$9,$D$6:$H$6,0))),0)</f>
        <v>1.9830420122247364E-3</v>
      </c>
      <c r="K31" s="33">
        <f>IFERROR(AVERAGE(D86:H86)/AVERAGE($D$90:$H$90),0)</f>
        <v>5.9708079955058382E-3</v>
      </c>
    </row>
    <row r="32" spans="1:11" ht="14" thickBot="1">
      <c r="B32" s="179" t="str">
        <f>B88</f>
        <v>RoRE - including financing and tax</v>
      </c>
      <c r="C32" s="69" t="s">
        <v>486</v>
      </c>
      <c r="D32" s="166">
        <f>SUM(D29:D31)</f>
        <v>9.2448410671913131E-2</v>
      </c>
      <c r="E32" s="167">
        <f t="shared" ref="E32:H32" si="10">SUM(E29:E31)</f>
        <v>0.11926815885719362</v>
      </c>
      <c r="F32" s="167">
        <f t="shared" si="10"/>
        <v>0.10642978065035044</v>
      </c>
      <c r="G32" s="167">
        <f t="shared" si="10"/>
        <v>8.097450060367159E-2</v>
      </c>
      <c r="H32" s="168">
        <f t="shared" si="10"/>
        <v>6.605020946256572E-2</v>
      </c>
      <c r="I32" s="372"/>
      <c r="J32" s="170">
        <f>SUM(J29:J31)</f>
        <v>0.10608756142983664</v>
      </c>
      <c r="K32" s="168">
        <f>SUM(K29:K31)</f>
        <v>9.2951097590588116E-2</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4.7556531724705309E-2</v>
      </c>
      <c r="E38" s="71">
        <f>IFERROR(Equity_Return_on_the_RAV/Equity_RAV_based_on_actual_gearing,0)</f>
        <v>4.5102403454091104E-2</v>
      </c>
      <c r="F38" s="71">
        <f>IFERROR(Equity_Return_on_the_RAV/Equity_RAV_based_on_actual_gearing,0)</f>
        <v>5.1325733188424927E-2</v>
      </c>
      <c r="G38" s="71">
        <f>IFERROR(Equity_Return_on_the_RAV/Equity_RAV_based_on_actual_gearing,0)</f>
        <v>5.6114468603457458E-2</v>
      </c>
      <c r="H38" s="71">
        <f>IFERROR(Equity_Return_on_the_RAV/Equity_RAV_based_on_actual_gearing,0)</f>
        <v>5.7472233395159757E-2</v>
      </c>
      <c r="I38" s="369"/>
      <c r="J38" s="30">
        <f>IFERROR(AVERAGE(D65:INDEX(D65:H65,0,MATCH('RFPR cover'!$C$9,$D$6:$H$6,0)))/AVERAGE($D$91:INDEX($D$91:$H$91,0,MATCH('RFPR cover'!$C$9,$D$6:$H$6,0))),0)</f>
        <v>4.8030625419138717E-2</v>
      </c>
      <c r="K38" s="72">
        <f t="shared" ref="K38:K48" si="11">IFERROR(AVERAGE(D65:H65)/AVERAGE($D$91:$H$91),0)</f>
        <v>5.1517678095894359E-2</v>
      </c>
      <c r="M38" s="374"/>
    </row>
    <row r="39" spans="1:13">
      <c r="B39" s="178" t="str">
        <f t="shared" ref="B39:B46" si="12">B66</f>
        <v>Totex outperformance</v>
      </c>
      <c r="C39" s="177" t="s">
        <v>486</v>
      </c>
      <c r="D39" s="71">
        <f>IFERROR(Totex_outperformance/Equity_RAV_based_on_actual_gearing,0)</f>
        <v>2.0533419882042003E-2</v>
      </c>
      <c r="E39" s="71">
        <f>IFERROR(Totex_outperformance/Equity_RAV_based_on_actual_gearing,0)</f>
        <v>6.8249927884109565E-3</v>
      </c>
      <c r="F39" s="71">
        <f>IFERROR(Totex_outperformance/Equity_RAV_based_on_actual_gearing,0)</f>
        <v>1.422959501956468E-3</v>
      </c>
      <c r="G39" s="71">
        <f>IFERROR(Totex_outperformance/Equity_RAV_based_on_actual_gearing,0)</f>
        <v>-4.4774224241150191E-3</v>
      </c>
      <c r="H39" s="71">
        <f>IFERROR(Totex_outperformance/Equity_RAV_based_on_actual_gearing,0)</f>
        <v>3.4626324186874387E-3</v>
      </c>
      <c r="I39" s="369"/>
      <c r="J39" s="30">
        <f>IFERROR(AVERAGE(D66:INDEX(D66:H66,0,MATCH('RFPR cover'!$C$9,$D$6:$H$6,0)))/AVERAGE($D$91:INDEX($D$91:$H$91,0,MATCH('RFPR cover'!$C$9,$D$6:$H$6,0))),0)</f>
        <v>9.2805786080522902E-3</v>
      </c>
      <c r="K39" s="72">
        <f t="shared" si="11"/>
        <v>5.3559799258260134E-3</v>
      </c>
    </row>
    <row r="40" spans="1:13">
      <c r="A40" s="370" t="s">
        <v>487</v>
      </c>
      <c r="B40" s="178" t="str">
        <f t="shared" si="12"/>
        <v>Business Plan Incentive</v>
      </c>
      <c r="C40" s="177" t="s">
        <v>486</v>
      </c>
      <c r="D40" s="71">
        <f>IFERROR(Business_Plan_Incentive/Equity_RAV_based_on_actual_gearing,0)</f>
        <v>-1.0800600845576901E-5</v>
      </c>
      <c r="E40" s="71">
        <f>IFERROR(Business_Plan_Incentive/Equity_RAV_based_on_actual_gearing,0)</f>
        <v>-1.0070781812523731E-5</v>
      </c>
      <c r="F40" s="71">
        <f>IFERROR(Business_Plan_Incentive/Equity_RAV_based_on_actual_gearing,0)</f>
        <v>-9.8461581175296305E-6</v>
      </c>
      <c r="G40" s="71">
        <f>IFERROR(Business_Plan_Incentive/Equity_RAV_based_on_actual_gearing,0)</f>
        <v>-1.0131668215533695E-5</v>
      </c>
      <c r="H40" s="71">
        <f>IFERROR(Business_Plan_Incentive/Equity_RAV_based_on_actual_gearing,0)</f>
        <v>-1.0454655925323749E-5</v>
      </c>
      <c r="I40" s="369"/>
      <c r="J40" s="30">
        <f>IFERROR(AVERAGE(D67:INDEX(D67:H67,0,MATCH('RFPR cover'!$C$9,$D$6:$H$6,0)))/AVERAGE($D$91:INDEX($D$91:$H$91,0,MATCH('RFPR cover'!$C$9,$D$6:$H$6,0))),0)</f>
        <v>-1.0223309303675556E-5</v>
      </c>
      <c r="K40" s="72">
        <f t="shared" si="11"/>
        <v>-1.0250130941731603E-5</v>
      </c>
    </row>
    <row r="41" spans="1:13">
      <c r="A41" s="370" t="s">
        <v>488</v>
      </c>
      <c r="B41" s="178" t="str">
        <f t="shared" si="12"/>
        <v>Customer Satisfaction Survey ODI - (SpC 4.2)</v>
      </c>
      <c r="C41" s="177" t="s">
        <v>486</v>
      </c>
      <c r="D41" s="71">
        <f>IFERROR(ODI_1/Equity_RAV_based_on_actual_gearing,0)</f>
        <v>1.2287399361377641E-3</v>
      </c>
      <c r="E41" s="71">
        <f>IFERROR(ODI_1/Equity_RAV_based_on_actual_gearing,0)</f>
        <v>1.3252316352417701E-3</v>
      </c>
      <c r="F41" s="71">
        <f>IFERROR(ODI_1/Equity_RAV_based_on_actual_gearing,0)</f>
        <v>1.3415106004671989E-3</v>
      </c>
      <c r="G41" s="71">
        <f>IFERROR(ODI_1/Equity_RAV_based_on_actual_gearing,0)</f>
        <v>1.8692031187615642E-3</v>
      </c>
      <c r="H41" s="71">
        <f>IFERROR(ODI_1/Equity_RAV_based_on_actual_gearing,0)</f>
        <v>2.0624701110285078E-3</v>
      </c>
      <c r="I41" s="369"/>
      <c r="J41" s="30">
        <f>IFERROR(AVERAGE(D68:INDEX(D68:H68,0,MATCH('RFPR cover'!$C$9,$D$6:$H$6,0)))/AVERAGE($D$91:INDEX($D$91:$H$91,0,MATCH('RFPR cover'!$C$9,$D$6:$H$6,0))),0)</f>
        <v>1.300421068016491E-3</v>
      </c>
      <c r="K41" s="72">
        <f t="shared" si="11"/>
        <v>1.5649357622343084E-3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5.5339463654302057E-4</v>
      </c>
      <c r="E45" s="71">
        <f>IFERROR(ODI_5/Equity_RAV_based_on_actual_gearing,0)</f>
        <v>5.1600061149634604E-4</v>
      </c>
      <c r="F45" s="71">
        <f>IFERROR(ODI_5/Equity_RAV_based_on_actual_gearing,0)</f>
        <v>-5.0449147882609122E-4</v>
      </c>
      <c r="G45" s="71">
        <f>IFERROR(ODI_5/Equity_RAV_based_on_actual_gearing,0)</f>
        <v>-5.1912027209170169E-4</v>
      </c>
      <c r="H45" s="71">
        <f>IFERROR(ODI_5/Equity_RAV_based_on_actual_gearing,0)</f>
        <v>-5.3566932050323778E-4</v>
      </c>
      <c r="I45" s="369"/>
      <c r="J45" s="30">
        <f>IFERROR(AVERAGE(D72:INDEX(D72:H72,0,MATCH('RFPR cover'!$C$9,$D$6:$H$6,0)))/AVERAGE($D$91:INDEX($D$91:$H$91,0,MATCH('RFPR cover'!$C$9,$D$6:$H$6,0))),0)</f>
        <v>1.7460524086464148E-4</v>
      </c>
      <c r="K45" s="72">
        <f t="shared" si="11"/>
        <v>-1.0503799868395096E-4</v>
      </c>
    </row>
    <row r="46" spans="1:13">
      <c r="A46" s="370" t="s">
        <v>493</v>
      </c>
      <c r="B46" s="178" t="str">
        <f t="shared" si="12"/>
        <v>Collaborative streetworks ODI [Cadent Lon &amp; EoE, SGN So only]- (SpC 4.7)</v>
      </c>
      <c r="C46" s="177" t="s">
        <v>486</v>
      </c>
      <c r="D46" s="71">
        <f>IFERROR(ODI_6/Equity_RAV_based_on_actual_gearing,0)</f>
        <v>0</v>
      </c>
      <c r="E46" s="71">
        <f>IFERROR(ODI_6/Equity_RAV_based_on_actual_gearing,0)</f>
        <v>0</v>
      </c>
      <c r="F46" s="71">
        <f>IFERROR(ODI_6/Equity_RAV_based_on_actual_gearing,0)</f>
        <v>0</v>
      </c>
      <c r="G46" s="71">
        <f>IFERROR(ODI_6/Equity_RAV_based_on_actual_gearing,0)</f>
        <v>0</v>
      </c>
      <c r="H46" s="71">
        <f>IFERROR(ODI_6/Equity_RAV_based_on_actual_gearing,0)</f>
        <v>0</v>
      </c>
      <c r="I46" s="369"/>
      <c r="J46" s="30">
        <f>IFERROR(AVERAGE(D73:INDEX(D73:H73,0,MATCH('RFPR cover'!$C$9,$D$6:$H$6,0)))/AVERAGE($D$91:INDEX($D$91:$H$91,0,MATCH('RFPR cover'!$C$9,$D$6:$H$6,0))),0)</f>
        <v>0</v>
      </c>
      <c r="K46" s="72">
        <f t="shared" si="11"/>
        <v>0</v>
      </c>
    </row>
    <row r="47" spans="1:13">
      <c r="A47" s="370" t="s">
        <v>494</v>
      </c>
      <c r="B47" s="178" t="str">
        <f t="shared" ref="B47" si="13">B74</f>
        <v>Network innovation input for RORE</v>
      </c>
      <c r="C47" s="177" t="s">
        <v>486</v>
      </c>
      <c r="D47" s="71">
        <f>IFERROR(ORA_1/Equity_RAV_based_on_actual_gearing,0)</f>
        <v>-1.5213598255478229E-4</v>
      </c>
      <c r="E47" s="71">
        <f>IFERROR(ORA_1/Equity_RAV_based_on_actual_gearing,0)</f>
        <v>-1.4185583821205389E-4</v>
      </c>
      <c r="F47" s="71">
        <f>IFERROR(ORA_1/Equity_RAV_based_on_actual_gearing,0)</f>
        <v>-1.3869181548483608E-4</v>
      </c>
      <c r="G47" s="71">
        <f>IFERROR(ORA_1/Equity_RAV_based_on_actual_gearing,0)</f>
        <v>-1.4271347686369807E-4</v>
      </c>
      <c r="H47" s="71">
        <f>IFERROR(ORA_1/Equity_RAV_based_on_actual_gearing,0)</f>
        <v>-1.4726304343731623E-4</v>
      </c>
      <c r="I47" s="369"/>
      <c r="J47" s="30">
        <f>IFERROR(AVERAGE(D74:INDEX(D74:H74,0,MATCH('RFPR cover'!$C$9,$D$6:$H$6,0)))/AVERAGE($D$91:INDEX($D$91:$H$91,0,MATCH('RFPR cover'!$C$9,$D$6:$H$6,0))),0)</f>
        <v>-1.4400432236259092E-4</v>
      </c>
      <c r="K47" s="72">
        <f t="shared" si="11"/>
        <v>-1.4438212877519033E-4</v>
      </c>
    </row>
    <row r="48" spans="1:13">
      <c r="A48" s="370" t="s">
        <v>495</v>
      </c>
      <c r="B48" s="178" t="str">
        <f t="shared" ref="B48" si="14">B75</f>
        <v>Carry-over Network innovation input for RORE</v>
      </c>
      <c r="C48" s="177" t="s">
        <v>486</v>
      </c>
      <c r="D48" s="71">
        <f>IFERROR(ORA_2/Equity_RAV_based_on_actual_gearing,0)</f>
        <v>-8.521715504797093E-5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-2.6887434211324792E-5</v>
      </c>
      <c r="K48" s="72">
        <f t="shared" si="11"/>
        <v>-1.6174785277455371E-5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-1.3097397512168043E-3</v>
      </c>
      <c r="E55" s="371">
        <f>IFERROR(Penalties_and_fines/Equity_RAV_based_on_actual_gearing,0)</f>
        <v>-1.2310867650419601E-3</v>
      </c>
      <c r="F55" s="371">
        <f>IFERROR(Penalties_and_fines/Equity_RAV_based_on_actual_gearing,0)</f>
        <v>-7.9467781256325565E-4</v>
      </c>
      <c r="G55" s="371">
        <f>IFERROR(Penalties_and_fines/Equity_RAV_based_on_actual_gearing,0)</f>
        <v>-4.3735632960053075E-4</v>
      </c>
      <c r="H55" s="371">
        <f>IFERROR(Penalties_and_fines/Equity_RAV_based_on_actual_gearing,0)</f>
        <v>-4.4446493948588144E-4</v>
      </c>
      <c r="I55" s="369"/>
      <c r="J55" s="30">
        <f>IFERROR(AVERAGE(D82:INDEX(D82:H82,0,MATCH('RFPR cover'!$C$9,$D$6:$H$6,0)))/AVERAGE($D$91:INDEX($D$91:$H$91,0,MATCH('RFPR cover'!$C$9,$D$6:$H$6,0))),0)</f>
        <v>-1.1048613158298952E-3</v>
      </c>
      <c r="K55" s="72">
        <f t="shared" si="16"/>
        <v>-8.4030398048800538E-4</v>
      </c>
    </row>
    <row r="56" spans="1:12" ht="14" thickBot="1">
      <c r="B56" s="179" t="str">
        <f t="shared" si="17"/>
        <v>RoRE - Operational performance</v>
      </c>
      <c r="C56" s="69" t="s">
        <v>486</v>
      </c>
      <c r="D56" s="166">
        <f t="shared" ref="D56:H56" si="18">SUM(D38:D55)</f>
        <v>6.8314192689762979E-2</v>
      </c>
      <c r="E56" s="167">
        <f t="shared" si="18"/>
        <v>5.2385615104173645E-2</v>
      </c>
      <c r="F56" s="167">
        <f t="shared" si="18"/>
        <v>5.264249602585689E-2</v>
      </c>
      <c r="G56" s="167">
        <f t="shared" si="18"/>
        <v>5.2396927551332531E-2</v>
      </c>
      <c r="H56" s="168">
        <f t="shared" si="18"/>
        <v>6.1859483965523945E-2</v>
      </c>
      <c r="I56" s="372"/>
      <c r="J56" s="170">
        <f>SUM(J38:J55)</f>
        <v>5.7500253954364651E-2</v>
      </c>
      <c r="K56" s="168">
        <f>SUM(K38:K55)</f>
        <v>5.7322444759788344E-2</v>
      </c>
    </row>
    <row r="57" spans="1:12">
      <c r="B57" s="178" t="s">
        <v>503</v>
      </c>
      <c r="C57" s="177" t="s">
        <v>486</v>
      </c>
      <c r="D57" s="373">
        <f>IFERROR((Debt_performance___at_notional_gearing+Debt_performance___impact_of_actual_gearing)/Equity_RAV_based_on_actual_gearing,0)</f>
        <v>2.7090146816634058E-2</v>
      </c>
      <c r="E57" s="373">
        <f>IFERROR((Debt_performance___at_notional_gearing+Debt_performance___impact_of_actual_gearing)/Equity_RAV_based_on_actual_gearing,0)</f>
        <v>6.3061817139562479E-2</v>
      </c>
      <c r="F57" s="373">
        <f>IFERROR((Debt_performance___at_notional_gearing+Debt_performance___impact_of_actual_gearing)/Equity_RAV_based_on_actual_gearing,0)</f>
        <v>4.8478649597543361E-2</v>
      </c>
      <c r="G57" s="373">
        <f>IFERROR((Debt_performance___at_notional_gearing+Debt_performance___impact_of_actual_gearing)/Equity_RAV_based_on_actual_gearing,0)</f>
        <v>1.094028196970309E-2</v>
      </c>
      <c r="H57" s="373">
        <f>IFERROR((Debt_performance___at_notional_gearing+Debt_performance___impact_of_actual_gearing)/Equity_RAV_based_on_actual_gearing,0)</f>
        <v>-1.7742879977305226E-4</v>
      </c>
      <c r="I57" s="369"/>
      <c r="J57" s="169">
        <f>IFERROR((AVERAGE(D84:INDEX(D84:H84,0,MATCH('RFPR cover'!$C$9,$D$6:$H$6,0)))+AVERAGE(D85:INDEX(D85:H85,0,MATCH('RFPR cover'!$C$9,$D$6:$H$6,0))))/AVERAGE($D$91:INDEX($D$91:$H$91,0,MATCH('RFPR cover'!$C$9,$D$6:$H$6,0))),0)</f>
        <v>4.6664899309914444E-2</v>
      </c>
      <c r="K57" s="169">
        <f>IFERROR((AVERAGE(D84:H84)+AVERAGE(D85:H85))/AVERAGE($D$91:$H$91),0)</f>
        <v>3.0251245260341862E-2</v>
      </c>
    </row>
    <row r="58" spans="1:12" ht="14" thickBot="1">
      <c r="B58" s="178" t="s">
        <v>504</v>
      </c>
      <c r="C58" s="177" t="s">
        <v>486</v>
      </c>
      <c r="D58" s="171">
        <f>IFERROR((Tax_performance___at_notional_gearing+Tax_performance___impact_of_actual_gearing)/D$91,0)</f>
        <v>1.7652581653766881E-3</v>
      </c>
      <c r="E58" s="171">
        <f>IFERROR((Tax_performance___at_notional_gearing+Tax_performance___impact_of_actual_gearing)/E$91,0)</f>
        <v>2.4061394032184962E-3</v>
      </c>
      <c r="F58" s="171">
        <f>IFERROR((Tax_performance___at_notional_gearing+Tax_performance___impact_of_actual_gearing)/F$91,0)</f>
        <v>1.9632370720588099E-3</v>
      </c>
      <c r="G58" s="171">
        <f>IFERROR((Tax_performance___at_notional_gearing+Tax_performance___impact_of_actual_gearing)/G$91,0)</f>
        <v>1.793939684711077E-2</v>
      </c>
      <c r="H58" s="171">
        <f>IFERROR((Tax_performance___at_notional_gearing+Tax_performance___impact_of_actual_gearing)/H$91,0)</f>
        <v>6.4177997548140872E-3</v>
      </c>
      <c r="I58" s="369"/>
      <c r="J58" s="33">
        <f>IFERROR((AVERAGE(D86:INDEX(D86:H86,0,MATCH('RFPR cover'!$C$9,$D$6:$H$6,0)))+AVERAGE(D87:INDEX(D87:H87,0,MATCH('RFPR cover'!$C$9,$D$6:$H$6,0))))/AVERAGE($D$91:INDEX($D$91:$H$91,0,MATCH('RFPR cover'!$C$9,$D$6:$H$6,0))),0)</f>
        <v>2.0506415334744961E-3</v>
      </c>
      <c r="K58" s="33">
        <f>IFERROR((AVERAGE(D86:H86)+AVERAGE(D87:H87))/AVERAGE($D$91:$H$91),0)</f>
        <v>6.1218925396415722E-3</v>
      </c>
    </row>
    <row r="59" spans="1:12" ht="14" thickBot="1">
      <c r="B59" s="179" t="str">
        <f>B88</f>
        <v>RoRE - including financing and tax</v>
      </c>
      <c r="C59" s="69" t="s">
        <v>486</v>
      </c>
      <c r="D59" s="166">
        <f>SUM(D56:D58)</f>
        <v>9.716959767177373E-2</v>
      </c>
      <c r="E59" s="167">
        <f t="shared" ref="E59:H59" si="19">SUM(E56:E58)</f>
        <v>0.11785357164695463</v>
      </c>
      <c r="F59" s="167">
        <f t="shared" si="19"/>
        <v>0.10308438269545905</v>
      </c>
      <c r="G59" s="167">
        <f t="shared" si="19"/>
        <v>8.127660636814639E-2</v>
      </c>
      <c r="H59" s="168">
        <f t="shared" si="19"/>
        <v>6.8099854920564973E-2</v>
      </c>
      <c r="I59" s="372"/>
      <c r="J59" s="170">
        <f>SUM(J56:J58)</f>
        <v>0.10621579479775359</v>
      </c>
      <c r="K59" s="168">
        <f>SUM(K56:K58)</f>
        <v>9.3695582559771784E-2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31.259226729995177</v>
      </c>
      <c r="E65" s="32">
        <f>'R7 - RAV'!G44</f>
        <v>31.794534523612317</v>
      </c>
      <c r="F65" s="32">
        <f>'R7 - RAV'!H44</f>
        <v>37.007038237261121</v>
      </c>
      <c r="G65" s="32">
        <f>'R7 - RAV'!I44</f>
        <v>39.319670318908237</v>
      </c>
      <c r="H65" s="32">
        <f>'R7 - RAV'!J44</f>
        <v>39.026922202394459</v>
      </c>
      <c r="I65" s="34"/>
      <c r="J65" s="18">
        <f>SUM(D65:INDEX(D65:H65,0,MATCH('RFPR cover'!$C$9,$D$6:$H$6,0)))</f>
        <v>100.06079949086862</v>
      </c>
      <c r="K65" s="18">
        <f t="shared" ref="K65:K82" si="20">SUM(D65:H65)</f>
        <v>178.40739201217133</v>
      </c>
      <c r="L65" s="34"/>
    </row>
    <row r="66" spans="1:12">
      <c r="B66" s="376" t="s">
        <v>507</v>
      </c>
      <c r="C66" s="377" t="str">
        <f>Data!$C$9</f>
        <v>£m 18/19</v>
      </c>
      <c r="D66" s="46">
        <f>'R3 - Totex - Reconciliation'!D102</f>
        <v>13.496754375414225</v>
      </c>
      <c r="E66" s="46">
        <f>'R3 - Totex - Reconciliation'!E102</f>
        <v>4.8112174122918958</v>
      </c>
      <c r="F66" s="46">
        <f>'R3 - Totex - Reconciliation'!F102</f>
        <v>1.0259866431065991</v>
      </c>
      <c r="G66" s="46">
        <f>'R3 - Totex - Reconciliation'!G102</f>
        <v>-3.1373508112280728</v>
      </c>
      <c r="H66" s="46">
        <f>'R3 - Totex - Reconciliation'!H102</f>
        <v>2.3513247708759586</v>
      </c>
      <c r="I66" s="34"/>
      <c r="J66" s="18">
        <f>SUM(D66:INDEX(D66:H66,0,MATCH('RFPR cover'!$C$9,$D$6:$H$6,0)))</f>
        <v>19.333958430812721</v>
      </c>
      <c r="K66" s="18">
        <f t="shared" si="20"/>
        <v>18.547932390460605</v>
      </c>
      <c r="L66" s="34"/>
    </row>
    <row r="67" spans="1:12">
      <c r="A67" s="370" t="s">
        <v>487</v>
      </c>
      <c r="B67" s="376" t="s">
        <v>508</v>
      </c>
      <c r="C67" s="377" t="str">
        <f>Data!$C$9</f>
        <v>£m 18/19</v>
      </c>
      <c r="D67" s="43">
        <f>'R4 - Incentives and Other Rev'!D12</f>
        <v>-7.0993072540795777E-3</v>
      </c>
      <c r="E67" s="43">
        <f>'R4 - Incentives and Other Rev'!E12</f>
        <v>-7.0993072540795777E-3</v>
      </c>
      <c r="F67" s="43">
        <f>'R4 - Incentives and Other Rev'!F12</f>
        <v>-7.0993072540795777E-3</v>
      </c>
      <c r="G67" s="43">
        <f>'R4 - Incentives and Other Rev'!G12</f>
        <v>-7.0993072540795777E-3</v>
      </c>
      <c r="H67" s="43">
        <f>'R4 - Incentives and Other Rev'!H12</f>
        <v>-7.0993072540795777E-3</v>
      </c>
      <c r="I67" s="34"/>
      <c r="J67" s="18">
        <f>SUM(D67:INDEX(D67:H67,0,MATCH('RFPR cover'!$C$9,$D$6:$H$6,0)))</f>
        <v>-2.1297921762238735E-2</v>
      </c>
      <c r="K67" s="18">
        <f t="shared" si="20"/>
        <v>-3.5496536270397887E-2</v>
      </c>
      <c r="L67" s="34"/>
    </row>
    <row r="68" spans="1:12">
      <c r="A68" s="370" t="s">
        <v>488</v>
      </c>
      <c r="B68" s="255" t="str">
        <f>'R4 - Incentives and Other Rev'!B14</f>
        <v>Customer Satisfaction Survey ODI - (SpC 4.2)</v>
      </c>
      <c r="C68" s="377" t="str">
        <f>Data!$C$9</f>
        <v>£m 18/19</v>
      </c>
      <c r="D68" s="43">
        <f>'R4 - Incentives and Other Rev'!D14</f>
        <v>0.80765898737684227</v>
      </c>
      <c r="E68" s="43">
        <f>'R4 - Incentives and Other Rev'!E14</f>
        <v>0.93421014738973318</v>
      </c>
      <c r="F68" s="43">
        <f>'R4 - Incentives and Other Rev'!F14</f>
        <v>0.9672601052755514</v>
      </c>
      <c r="G68" s="43">
        <f>'R4 - Incentives and Other Rev'!G14</f>
        <v>1.3097593582887703</v>
      </c>
      <c r="H68" s="43">
        <f>'R4 - Incentives and Other Rev'!H14</f>
        <v>1.4005347593582882</v>
      </c>
      <c r="I68" s="378"/>
      <c r="J68" s="18">
        <f>SUM(D68:INDEX(D68:H68,0,MATCH('RFPR cover'!$C$9,$D$6:$H$6,0)))</f>
        <v>2.709129240042127</v>
      </c>
      <c r="K68" s="18">
        <f t="shared" si="20"/>
        <v>5.419423357689185</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0.36375000000000002</v>
      </c>
      <c r="E72" s="43">
        <f>'R4 - Incentives and Other Rev'!E18</f>
        <v>0.36375000000000002</v>
      </c>
      <c r="F72" s="43">
        <f>'R4 - Incentives and Other Rev'!F18</f>
        <v>-0.36375000000000002</v>
      </c>
      <c r="G72" s="43">
        <f>'R4 - Incentives and Other Rev'!G18</f>
        <v>-0.36375000000000002</v>
      </c>
      <c r="H72" s="43">
        <f>'R4 - Incentives and Other Rev'!H18</f>
        <v>-0.36375000000000002</v>
      </c>
      <c r="I72" s="378"/>
      <c r="J72" s="18">
        <f>SUM(D72:INDEX(D72:H72,0,MATCH('RFPR cover'!$C$9,$D$6:$H$6,0)))</f>
        <v>0.36375000000000002</v>
      </c>
      <c r="K72" s="18">
        <f t="shared" si="20"/>
        <v>-0.36375000000000002</v>
      </c>
      <c r="L72" s="34"/>
    </row>
    <row r="73" spans="1:12">
      <c r="A73" s="1266" t="s">
        <v>493</v>
      </c>
      <c r="B73" s="255" t="str">
        <f>'R4 - Incentives and Other Rev'!B19</f>
        <v>Collaborative streetworks ODI [Cadent Lon &amp; EoE, SGN So only]- (SpC 4.7)</v>
      </c>
      <c r="C73" s="377" t="str">
        <f>Data!$C$9</f>
        <v>£m 18/19</v>
      </c>
      <c r="D73" s="43">
        <f>'R4 - Incentives and Other Rev'!D19</f>
        <v>0</v>
      </c>
      <c r="E73" s="43">
        <f>'R4 - Incentives and Other Rev'!E19</f>
        <v>0</v>
      </c>
      <c r="F73" s="43">
        <f>'R4 - Incentives and Other Rev'!F19</f>
        <v>0</v>
      </c>
      <c r="G73" s="43">
        <f>'R4 - Incentives and Other Rev'!G19</f>
        <v>0</v>
      </c>
      <c r="H73" s="43">
        <f>'R4 - Incentives and Other Rev'!H19</f>
        <v>0</v>
      </c>
      <c r="I73" s="378"/>
      <c r="J73" s="18">
        <f>SUM(D73:INDEX(D73:H73,0,MATCH('RFPR cover'!$C$9,$D$6:$H$6,0)))</f>
        <v>0</v>
      </c>
      <c r="K73" s="18">
        <f t="shared" ref="K73:K76" si="21">SUM(D73:H73)</f>
        <v>0</v>
      </c>
      <c r="L73" s="34"/>
    </row>
    <row r="74" spans="1:12">
      <c r="A74" s="370" t="s">
        <v>494</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495</v>
      </c>
      <c r="B75" s="255" t="str">
        <f>'R4 - Incentives and Other Rev'!B52</f>
        <v>Carry-over Network innovation input for RORE</v>
      </c>
      <c r="C75" s="377" t="str">
        <f>Data!$C$9</f>
        <v>£m 18/19</v>
      </c>
      <c r="D75" s="43">
        <f>-'R4 - Incentives and Other Rev'!D52</f>
        <v>-5.6013806607049903E-2</v>
      </c>
      <c r="E75" s="43">
        <f>-'R4 - Incentives and Other Rev'!E52</f>
        <v>0</v>
      </c>
      <c r="F75" s="43">
        <f>-'R4 - Incentives and Other Rev'!F52</f>
        <v>0</v>
      </c>
      <c r="G75" s="43">
        <f>-'R4 - Incentives and Other Rev'!G52</f>
        <v>0</v>
      </c>
      <c r="H75" s="43">
        <f>-'R4 - Incentives and Other Rev'!H52</f>
        <v>0</v>
      </c>
      <c r="I75" s="34"/>
      <c r="J75" s="18">
        <f>SUM(D75:INDEX(D75:H75,0,MATCH('RFPR cover'!$C$9,$D$6:$H$6,0)))</f>
        <v>-5.6013806607049903E-2</v>
      </c>
      <c r="K75" s="18">
        <f t="shared" si="21"/>
        <v>-5.6013806607049903E-2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-0.860900708183998</v>
      </c>
      <c r="E82" s="44">
        <f>-'R10 - Pensions &amp; Oth Activities'!E54</f>
        <v>-0.86784356608690583</v>
      </c>
      <c r="F82" s="44">
        <f>-'R10 - Pensions &amp; Oth Activities'!F54</f>
        <v>-0.57298104418435714</v>
      </c>
      <c r="G82" s="44">
        <f>-'R10 - Pensions &amp; Oth Activities'!G54</f>
        <v>-0.30645762349286637</v>
      </c>
      <c r="H82" s="44">
        <f>-'R10 - Pensions &amp; Oth Activities'!H54</f>
        <v>-0.30181702694136686</v>
      </c>
      <c r="I82" s="34"/>
      <c r="J82" s="154">
        <f>SUM(D82:INDEX(D82:H82,0,MATCH('RFPR cover'!$C$9,$D$6:$H$6,0)))</f>
        <v>-2.3017253184552611</v>
      </c>
      <c r="K82" s="154">
        <f t="shared" si="20"/>
        <v>-2.909999968889494</v>
      </c>
      <c r="L82" s="34"/>
    </row>
    <row r="83" spans="1:23" ht="14" thickBot="1">
      <c r="B83" s="379" t="s">
        <v>510</v>
      </c>
      <c r="C83" s="380" t="str">
        <f>Data!$C$9</f>
        <v>£m 18/19</v>
      </c>
      <c r="D83" s="162">
        <f>SUM(D65:D82)</f>
        <v>44.90337627074112</v>
      </c>
      <c r="E83" s="164">
        <f>SUM(E65:E82)</f>
        <v>36.928769209952961</v>
      </c>
      <c r="F83" s="164">
        <f>SUM(F65:F82)</f>
        <v>37.956454634204825</v>
      </c>
      <c r="G83" s="164">
        <f>SUM(G65:G82)</f>
        <v>36.714771935221982</v>
      </c>
      <c r="H83" s="163">
        <f>SUM(H65:H82)</f>
        <v>42.006115398433259</v>
      </c>
      <c r="I83" s="89"/>
      <c r="J83" s="162">
        <f>SUM(J65:J82)</f>
        <v>119.78860011489891</v>
      </c>
      <c r="K83" s="163">
        <f>SUM(K65:K82)</f>
        <v>198.50948744855418</v>
      </c>
      <c r="L83" s="34"/>
    </row>
    <row r="84" spans="1:23">
      <c r="B84" s="376" t="s">
        <v>511</v>
      </c>
      <c r="C84" s="377" t="str">
        <f>Data!$C$9</f>
        <v>£m 18/19</v>
      </c>
      <c r="D84" s="44">
        <f>IFERROR('R5 - Financing'!D85,0)</f>
        <v>17.918259629594182</v>
      </c>
      <c r="E84" s="44">
        <f>IFERROR('R5 - Financing'!E85,0)</f>
        <v>44.625160425984618</v>
      </c>
      <c r="F84" s="44">
        <f>IFERROR('R5 - Financing'!F85,0)</f>
        <v>35.249582417431675</v>
      </c>
      <c r="G84" s="44">
        <f>IFERROR('R5 - Financing'!G85,0)</f>
        <v>7.7072646059310745</v>
      </c>
      <c r="H84" s="44">
        <f>IFERROR('R5 - Financing'!H85,0)</f>
        <v>0.51316575461092129</v>
      </c>
      <c r="I84" s="34"/>
      <c r="J84" s="161">
        <f>SUM(D84:INDEX(D84:H84,0,MATCH('RFPR cover'!$C$9,$D$6:$H$6,0)))</f>
        <v>97.793002473010475</v>
      </c>
      <c r="K84" s="161">
        <f>SUM(D84:H84)</f>
        <v>106.01343283355247</v>
      </c>
      <c r="L84" s="34"/>
    </row>
    <row r="85" spans="1:23">
      <c r="B85" s="376" t="s">
        <v>512</v>
      </c>
      <c r="C85" s="377" t="str">
        <f>Data!$C$9</f>
        <v>£m 18/19</v>
      </c>
      <c r="D85" s="44">
        <f>IFERROR('R5 - Financing'!D87,0)</f>
        <v>-0.11172473777184067</v>
      </c>
      <c r="E85" s="44">
        <f>IFERROR('R5 - Financing'!E87,0)</f>
        <v>-0.1702984094532809</v>
      </c>
      <c r="F85" s="44">
        <f>IFERROR('R5 - Financing'!F87,0)</f>
        <v>-0.29535716046704152</v>
      </c>
      <c r="G85" s="44">
        <f>IFERROR('R5 - Financing'!G87,0)</f>
        <v>-4.1357916437502418E-2</v>
      </c>
      <c r="H85" s="44">
        <f>IFERROR('R5 - Financing'!H87,0)</f>
        <v>-0.6336500225111541</v>
      </c>
      <c r="I85" s="34"/>
      <c r="J85" s="18">
        <f>SUM(D85:INDEX(D85:H85,0,MATCH('RFPR cover'!$C$9,$D$6:$H$6,0)))</f>
        <v>-0.57738030769216309</v>
      </c>
      <c r="K85" s="18">
        <f>SUM(D85:H85)</f>
        <v>-1.2523882466408196</v>
      </c>
      <c r="L85" s="34"/>
    </row>
    <row r="86" spans="1:23">
      <c r="B86" s="376" t="s">
        <v>513</v>
      </c>
      <c r="C86" s="377" t="str">
        <f>Data!$C$9</f>
        <v>£m 18/19</v>
      </c>
      <c r="D86" s="44">
        <f>IFERROR('R8 - Tax'!E70,0)</f>
        <v>1.1390883116787549</v>
      </c>
      <c r="E86" s="44">
        <f>IFERROR('R8 - Tax'!F70,0)</f>
        <v>1.663829679546815</v>
      </c>
      <c r="F86" s="44">
        <f>IFERROR('R8 - Tax'!G70,0)</f>
        <v>1.3416999507503107</v>
      </c>
      <c r="G86" s="44">
        <f>IFERROR('R8 - Tax'!H70,0)</f>
        <v>12.559879705056552</v>
      </c>
      <c r="H86" s="44">
        <f>IFERROR('R8 - Tax'!I70,0)</f>
        <v>4.1996393212352601</v>
      </c>
      <c r="I86" s="34"/>
      <c r="J86" s="18">
        <f>SUM(D86:INDEX(D86:H86,0,MATCH('RFPR cover'!$C$9,$D$6:$H$6,0)))</f>
        <v>4.1446179419758806</v>
      </c>
      <c r="K86" s="18">
        <f>SUM(D86:H86)</f>
        <v>20.904136968267693</v>
      </c>
      <c r="L86" s="34"/>
    </row>
    <row r="87" spans="1:23" ht="14" thickBot="1">
      <c r="B87" s="376" t="s">
        <v>514</v>
      </c>
      <c r="C87" s="377" t="str">
        <f>Data!$C$9</f>
        <v>£m 18/19</v>
      </c>
      <c r="D87" s="44">
        <f>IFERROR('R8 - Tax'!E72,0)</f>
        <v>2.122770017665232E-2</v>
      </c>
      <c r="E87" s="44">
        <f>IFERROR('R8 - Tax'!F72,0)</f>
        <v>3.2356697796123157E-2</v>
      </c>
      <c r="F87" s="44">
        <f>IFERROR('R8 - Tax'!G72,0)</f>
        <v>7.3839290116762157E-2</v>
      </c>
      <c r="G87" s="44">
        <f>IFERROR('R8 - Tax'!H72,0)</f>
        <v>1.0339479109372718E-2</v>
      </c>
      <c r="H87" s="44">
        <f>IFERROR('R8 - Tax'!I72,0)</f>
        <v>0.15841250562779052</v>
      </c>
      <c r="I87" s="34"/>
      <c r="J87" s="154">
        <f>SUM(D87:INDEX(D87:H87,0,MATCH('RFPR cover'!$C$9,$D$6:$H$6,0)))</f>
        <v>0.12742368808953763</v>
      </c>
      <c r="K87" s="154">
        <f>SUM(D87:H87)</f>
        <v>0.29617567282670088</v>
      </c>
      <c r="L87" s="34"/>
    </row>
    <row r="88" spans="1:23" ht="14" thickBot="1">
      <c r="B88" s="379" t="s">
        <v>515</v>
      </c>
      <c r="C88" s="380" t="str">
        <f>Data!$C$9</f>
        <v>£m 18/19</v>
      </c>
      <c r="D88" s="247">
        <f>IF(OR(Licensee=Data!$B$86,Licensee=Data!$B$89),"N/A",SUM(D83:D87))</f>
        <v>63.870227174418865</v>
      </c>
      <c r="E88" s="247">
        <f>IF(OR(Licensee=Data!$B$86,Licensee=Data!$B$89),"N/A",SUM(E83:E87))</f>
        <v>83.079817603827237</v>
      </c>
      <c r="F88" s="247">
        <f>IF(OR(Licensee=Data!$B$86,Licensee=Data!$B$89),"N/A",SUM(F83:F87))</f>
        <v>74.326219132036528</v>
      </c>
      <c r="G88" s="247">
        <f>IF(OR(Licensee=Data!$B$86,Licensee=Data!$B$89),"N/A",SUM(G83:G87))</f>
        <v>56.950897808881479</v>
      </c>
      <c r="H88" s="247">
        <f>IF(OR(Licensee=Data!$B$86,Licensee=Data!$B$89),"N/A",SUM(H83:H87))</f>
        <v>46.243682957396075</v>
      </c>
      <c r="I88" s="89"/>
      <c r="J88" s="162">
        <f>SUM(J83:J87)</f>
        <v>221.27626391028269</v>
      </c>
      <c r="K88" s="163">
        <f>SUM(K83:K87)</f>
        <v>324.47084467656026</v>
      </c>
      <c r="L88" s="34"/>
    </row>
    <row r="89" spans="1:23">
      <c r="D89" s="165"/>
      <c r="I89" s="34"/>
      <c r="L89" s="34"/>
    </row>
    <row r="90" spans="1:23">
      <c r="B90" s="381" t="s">
        <v>516</v>
      </c>
      <c r="C90" s="377" t="str">
        <f>Data!$C$9</f>
        <v>£m 18/19</v>
      </c>
      <c r="D90" s="42">
        <f>'R7 - RAV'!F40</f>
        <v>691.85315082378202</v>
      </c>
      <c r="E90" s="32">
        <f>'R7 - RAV'!G40</f>
        <v>697.73659720131695</v>
      </c>
      <c r="F90" s="32">
        <f>'R7 - RAV'!H40</f>
        <v>700.44057731637679</v>
      </c>
      <c r="G90" s="32">
        <f>'R7 - RAV'!I40</f>
        <v>703.70197804746829</v>
      </c>
      <c r="H90" s="32">
        <f>'R7 - RAV'!J40</f>
        <v>707.32433484192995</v>
      </c>
      <c r="I90" s="34"/>
      <c r="L90" s="34"/>
    </row>
    <row r="91" spans="1:23">
      <c r="B91" s="376" t="s">
        <v>517</v>
      </c>
      <c r="C91" s="377" t="str">
        <f>Data!$C$9</f>
        <v>£m 18/19</v>
      </c>
      <c r="D91" s="45">
        <f>IFERROR('R6 - Net Debt'!D73,0)</f>
        <v>657.30669576470007</v>
      </c>
      <c r="E91" s="45">
        <f>IFERROR('R6 - Net Debt'!E73,0)</f>
        <v>704.94102506034699</v>
      </c>
      <c r="F91" s="45">
        <f>IFERROR('R6 - Net Debt'!F73,0)</f>
        <v>721.02308020427881</v>
      </c>
      <c r="G91" s="45">
        <f>IFERROR('R6 - Net Debt'!G73,0)</f>
        <v>700.70467202972998</v>
      </c>
      <c r="H91" s="45">
        <f>IFERROR('R6 - Net Debt'!H73,0)</f>
        <v>679.05699669018361</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116" priority="8">
      <formula>AND(D$5="Actuals",E$5="Forecast")</formula>
    </cfRule>
  </conditionalFormatting>
  <conditionalFormatting sqref="D7:H7">
    <cfRule type="expression" dxfId="115" priority="2">
      <formula>AND(D$5="Actuals",E$5="Forecast")</formula>
    </cfRule>
  </conditionalFormatting>
  <conditionalFormatting sqref="H6">
    <cfRule type="expression" dxfId="11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2"/>
  <sheetViews>
    <sheetView zoomScale="80" zoomScaleNormal="80" workbookViewId="0">
      <pane xSplit="3" ySplit="7" topLeftCell="D8" activePane="bottomRight" state="frozen"/>
      <selection pane="topRight" activeCell="D1" sqref="D1"/>
      <selection pane="bottomLeft" activeCell="A8" sqref="A8"/>
      <selection pane="bottomRight" activeCell="A4" sqref="A4"/>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Cadent-WM</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77.997358785293628</v>
      </c>
      <c r="E13" s="469">
        <v>93.199027125470195</v>
      </c>
      <c r="F13" s="469">
        <v>98.723756211568116</v>
      </c>
      <c r="G13" s="469">
        <v>103.84419617422486</v>
      </c>
      <c r="H13" s="469">
        <v>90.078500863531133</v>
      </c>
      <c r="I13" s="497">
        <f>SUM(D13:INDEX(D13:H13,0,MATCH('RFPR cover'!$C$9,$D$6:$H$6,0)))</f>
        <v>269.92014212233192</v>
      </c>
      <c r="J13" s="498">
        <f>SUM(D13:H13)</f>
        <v>463.84283916008792</v>
      </c>
      <c r="K13" s="389"/>
    </row>
    <row r="14" spans="1:19" ht="17.149999999999999" customHeight="1">
      <c r="B14" s="470" t="s">
        <v>592</v>
      </c>
      <c r="C14" s="468" t="str">
        <f>Data!$C$9</f>
        <v>£m 18/19</v>
      </c>
      <c r="D14" s="469">
        <v>99.916668021067181</v>
      </c>
      <c r="E14" s="469">
        <v>97.438111055184322</v>
      </c>
      <c r="F14" s="469">
        <v>96.759824154147836</v>
      </c>
      <c r="G14" s="469">
        <v>89.323665748750216</v>
      </c>
      <c r="H14" s="469">
        <v>85.930974329205227</v>
      </c>
      <c r="I14" s="499">
        <f>SUM(D14:INDEX(D14:H14,0,MATCH('RFPR cover'!$C$9,$D$6:$H$6,0)))</f>
        <v>294.11460323039933</v>
      </c>
      <c r="J14" s="500">
        <f>SUM(D14:H14)</f>
        <v>469.36924330835478</v>
      </c>
      <c r="K14" s="471"/>
    </row>
    <row r="15" spans="1:19">
      <c r="B15" s="86" t="s">
        <v>593</v>
      </c>
      <c r="C15" s="468" t="str">
        <f>Data!$C$9</f>
        <v>£m 18/19</v>
      </c>
      <c r="D15" s="496">
        <f>D14-D13</f>
        <v>21.919309235773554</v>
      </c>
      <c r="E15" s="496">
        <f>E14-E13</f>
        <v>4.239083929714127</v>
      </c>
      <c r="F15" s="496">
        <f t="shared" ref="F15:J15" si="2">F14-F13</f>
        <v>-1.9639320574202799</v>
      </c>
      <c r="G15" s="496">
        <f t="shared" si="2"/>
        <v>-14.520530425474647</v>
      </c>
      <c r="H15" s="496">
        <f t="shared" si="2"/>
        <v>-4.1475265343259053</v>
      </c>
      <c r="I15" s="21">
        <f t="shared" si="2"/>
        <v>24.194461108067401</v>
      </c>
      <c r="J15" s="23">
        <f t="shared" si="2"/>
        <v>5.5264041482668631</v>
      </c>
      <c r="K15" s="1346"/>
      <c r="L15" s="1346"/>
      <c r="M15" s="1346"/>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1">
        <f>INDEX(Data!$C$63:$C$91,MATCH('RFPR cover'!$C$7,Data!$B$63:$B$91,0),0)</f>
        <v>0.5</v>
      </c>
      <c r="E17" s="501">
        <f>INDEX(Data!$C$63:$C$91,MATCH('RFPR cover'!$C$7,Data!$B$63:$B$91,0),0)</f>
        <v>0.5</v>
      </c>
      <c r="F17" s="501">
        <f>INDEX(Data!$C$63:$C$91,MATCH('RFPR cover'!$C$7,Data!$B$63:$B$91,0),0)</f>
        <v>0.5</v>
      </c>
      <c r="G17" s="501">
        <f>INDEX(Data!$C$63:$C$91,MATCH('RFPR cover'!$C$7,Data!$B$63:$B$91,0),0)</f>
        <v>0.5</v>
      </c>
      <c r="H17" s="501">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6">
        <f>D15*D17</f>
        <v>10.959654617886777</v>
      </c>
      <c r="E19" s="496">
        <f t="shared" ref="E19:H19" si="3">E15*E17</f>
        <v>2.1195419648570635</v>
      </c>
      <c r="F19" s="496">
        <f t="shared" si="3"/>
        <v>-0.98196602871013994</v>
      </c>
      <c r="G19" s="496">
        <f t="shared" si="3"/>
        <v>-7.2602652127373233</v>
      </c>
      <c r="H19" s="496">
        <f t="shared" si="3"/>
        <v>-2.0737632671629527</v>
      </c>
      <c r="I19" s="18">
        <f>SUM(D19:INDEX(D19:H19,0,MATCH('RFPR cover'!$C$9,$D$6:$H$6,0)))</f>
        <v>12.0972305540337</v>
      </c>
      <c r="J19" s="20">
        <f>SUM(D19:H19)</f>
        <v>2.7632020741334244</v>
      </c>
      <c r="K19" s="114"/>
      <c r="L19" s="114"/>
      <c r="M19" s="114"/>
      <c r="N19" s="114"/>
      <c r="O19" s="114"/>
      <c r="P19" s="114"/>
      <c r="Q19" s="114"/>
      <c r="R19" s="114"/>
      <c r="S19" s="114"/>
    </row>
    <row r="20" spans="2:19">
      <c r="B20" s="389" t="s">
        <v>596</v>
      </c>
      <c r="C20" s="468" t="str">
        <f>Data!$C$9</f>
        <v>£m 18/19</v>
      </c>
      <c r="D20" s="496">
        <f>D15*(1-D17)</f>
        <v>10.959654617886777</v>
      </c>
      <c r="E20" s="496">
        <f t="shared" ref="E20:H20" si="4">E15*(1-E17)</f>
        <v>2.1195419648570635</v>
      </c>
      <c r="F20" s="496">
        <f t="shared" si="4"/>
        <v>-0.98196602871013994</v>
      </c>
      <c r="G20" s="496">
        <f t="shared" si="4"/>
        <v>-7.2602652127373233</v>
      </c>
      <c r="H20" s="496">
        <f t="shared" si="4"/>
        <v>-2.0737632671629527</v>
      </c>
      <c r="I20" s="15">
        <f>SUM(D20:INDEX(D20:H20,0,MATCH('RFPR cover'!$C$9,$D$6:$H$6,0)))</f>
        <v>12.0972305540337</v>
      </c>
      <c r="J20" s="17">
        <f>SUM(D20:H20)</f>
        <v>2.7632020741334244</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6">
        <f>SUM(D23:D29)</f>
        <v>0</v>
      </c>
      <c r="E30" s="496">
        <f t="shared" ref="E30:H30" si="7">SUM(E23:E29)</f>
        <v>0</v>
      </c>
      <c r="F30" s="496">
        <f t="shared" si="7"/>
        <v>0</v>
      </c>
      <c r="G30" s="496">
        <f t="shared" si="7"/>
        <v>0</v>
      </c>
      <c r="H30" s="496">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6">
        <f>SUM(D33:D34)</f>
        <v>0</v>
      </c>
      <c r="E35" s="496">
        <f t="shared" ref="E35:H35" si="10">SUM(E33:E34)</f>
        <v>0</v>
      </c>
      <c r="F35" s="496">
        <f t="shared" si="10"/>
        <v>0</v>
      </c>
      <c r="G35" s="496">
        <f t="shared" si="10"/>
        <v>0</v>
      </c>
      <c r="H35" s="496">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6">
        <f>D30*D17</f>
        <v>0</v>
      </c>
      <c r="E37" s="496">
        <f t="shared" ref="E37:H37" si="11">E30*E17</f>
        <v>0</v>
      </c>
      <c r="F37" s="496">
        <f t="shared" si="11"/>
        <v>0</v>
      </c>
      <c r="G37" s="496">
        <f t="shared" si="11"/>
        <v>0</v>
      </c>
      <c r="H37" s="496">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6">
        <f>D30*(1-D17)+D35</f>
        <v>0</v>
      </c>
      <c r="E38" s="496">
        <f t="shared" ref="E38:H38" si="12">E30*(1-E17)+E35</f>
        <v>0</v>
      </c>
      <c r="F38" s="496">
        <f t="shared" si="12"/>
        <v>0</v>
      </c>
      <c r="G38" s="496">
        <f t="shared" si="12"/>
        <v>0</v>
      </c>
      <c r="H38" s="496">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6">
        <f>D19+D37</f>
        <v>10.959654617886777</v>
      </c>
      <c r="E41" s="496">
        <f t="shared" ref="E41:H41" si="13">E19+E37</f>
        <v>2.1195419648570635</v>
      </c>
      <c r="F41" s="496">
        <f t="shared" si="13"/>
        <v>-0.98196602871013994</v>
      </c>
      <c r="G41" s="496">
        <f t="shared" si="13"/>
        <v>-7.2602652127373233</v>
      </c>
      <c r="H41" s="496">
        <f t="shared" si="13"/>
        <v>-2.0737632671629527</v>
      </c>
      <c r="I41" s="18">
        <f>SUM(D41:INDEX(D41:H41,0,MATCH('RFPR cover'!$C$9,$D$6:$H$6,0)))</f>
        <v>12.0972305540337</v>
      </c>
      <c r="J41" s="20">
        <f>SUM(D41:H41)</f>
        <v>2.7632020741334244</v>
      </c>
      <c r="L41" s="114"/>
      <c r="M41" s="114"/>
      <c r="N41" s="114"/>
      <c r="O41" s="114"/>
      <c r="P41" s="114"/>
      <c r="Q41" s="114"/>
      <c r="R41" s="114"/>
      <c r="S41" s="114"/>
    </row>
    <row r="42" spans="2:19">
      <c r="B42" s="389" t="s">
        <v>596</v>
      </c>
      <c r="C42" s="468" t="str">
        <f>Data!$C$9</f>
        <v>£m 18/19</v>
      </c>
      <c r="D42" s="496">
        <f>D20+D38</f>
        <v>10.959654617886777</v>
      </c>
      <c r="E42" s="496">
        <f t="shared" ref="E42:H42" si="14">E20+E38</f>
        <v>2.1195419648570635</v>
      </c>
      <c r="F42" s="496">
        <f t="shared" si="14"/>
        <v>-0.98196602871013994</v>
      </c>
      <c r="G42" s="496">
        <f t="shared" si="14"/>
        <v>-7.2602652127373233</v>
      </c>
      <c r="H42" s="496">
        <f t="shared" si="14"/>
        <v>-2.0737632671629527</v>
      </c>
      <c r="I42" s="18">
        <f>SUM(D42:INDEX(D42:H42,0,MATCH('RFPR cover'!$C$9,$D$6:$H$6,0)))</f>
        <v>12.0972305540337</v>
      </c>
      <c r="J42" s="17">
        <f t="shared" ref="J42" si="15">SUM(D42:H42)</f>
        <v>2.7632020741334244</v>
      </c>
      <c r="L42" s="114"/>
      <c r="M42" s="114"/>
      <c r="N42" s="114"/>
      <c r="O42" s="114"/>
      <c r="P42" s="114"/>
      <c r="Q42" s="114"/>
      <c r="R42" s="114"/>
      <c r="S42" s="114"/>
    </row>
    <row r="43" spans="2:19">
      <c r="B43" s="396" t="s">
        <v>605</v>
      </c>
      <c r="C43" s="476" t="str">
        <f>Data!$C$9</f>
        <v>£m 18/19</v>
      </c>
      <c r="D43" s="496">
        <f>SUM(D41:D42)</f>
        <v>21.919309235773554</v>
      </c>
      <c r="E43" s="496">
        <f t="shared" ref="E43:H43" si="16">SUM(E41:E42)</f>
        <v>4.239083929714127</v>
      </c>
      <c r="F43" s="496">
        <f t="shared" si="16"/>
        <v>-1.9639320574202799</v>
      </c>
      <c r="G43" s="496">
        <f t="shared" si="16"/>
        <v>-14.520530425474647</v>
      </c>
      <c r="H43" s="496">
        <f t="shared" si="16"/>
        <v>-4.1475265343259053</v>
      </c>
      <c r="I43" s="15">
        <f>SUM(D43:INDEX(D43:H43,0,MATCH('RFPR cover'!$C$9,$D$6:$H$6,0)))</f>
        <v>24.194461108067401</v>
      </c>
      <c r="J43" s="17">
        <f t="shared" ref="J43" si="17">SUM(D43:H43)</f>
        <v>5.5264041482668489</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5.5537510977324924</v>
      </c>
      <c r="E47" s="469">
        <v>3.8935298847997508</v>
      </c>
      <c r="F47" s="469">
        <v>4.1611227993691102</v>
      </c>
      <c r="G47" s="469">
        <v>9.4744615995369532</v>
      </c>
      <c r="H47" s="469">
        <v>12.530440773140247</v>
      </c>
      <c r="I47" s="502">
        <f>SUM(D47:INDEX(D47:H47,0,MATCH('RFPR cover'!$C$9,$D$6:$H$6,0)))</f>
        <v>13.608403781901353</v>
      </c>
      <c r="J47" s="503">
        <f>SUM(D47:H47)</f>
        <v>35.613306154578552</v>
      </c>
      <c r="K47" s="471"/>
    </row>
    <row r="48" spans="2:19" ht="15" customHeight="1">
      <c r="B48" s="470" t="s">
        <v>606</v>
      </c>
      <c r="C48" s="468" t="str">
        <f>Data!$C$9</f>
        <v>£m 18/19</v>
      </c>
      <c r="D48" s="469">
        <v>6.0040113266448447</v>
      </c>
      <c r="E48" s="469">
        <v>4.2050323105218332</v>
      </c>
      <c r="F48" s="469">
        <v>4.6023525573492075</v>
      </c>
      <c r="G48" s="469">
        <v>10.033619544222352</v>
      </c>
      <c r="H48" s="469">
        <v>13.359939049889944</v>
      </c>
      <c r="I48" s="504">
        <f>SUM(D48:INDEX(D48:H48,0,MATCH('RFPR cover'!$C$9,$D$6:$H$6,0)))</f>
        <v>14.811396194515886</v>
      </c>
      <c r="J48" s="505">
        <f>SUM(D48:H48)</f>
        <v>38.204954788628186</v>
      </c>
      <c r="K48" s="471"/>
    </row>
    <row r="49" spans="2:19">
      <c r="B49" s="86" t="s">
        <v>593</v>
      </c>
      <c r="C49" s="468" t="str">
        <f>Data!$C$9</f>
        <v>£m 18/19</v>
      </c>
      <c r="D49" s="496">
        <f>D48-D47</f>
        <v>0.45026022891235229</v>
      </c>
      <c r="E49" s="496">
        <f t="shared" ref="E49:J49" si="18">E48-E47</f>
        <v>0.31150242572208242</v>
      </c>
      <c r="F49" s="496">
        <f t="shared" si="18"/>
        <v>0.44122975798009723</v>
      </c>
      <c r="G49" s="496">
        <f t="shared" si="18"/>
        <v>0.55915794468539914</v>
      </c>
      <c r="H49" s="496">
        <f t="shared" si="18"/>
        <v>0.82949827674969612</v>
      </c>
      <c r="I49" s="153">
        <f t="shared" si="18"/>
        <v>1.2029924126145328</v>
      </c>
      <c r="J49" s="240">
        <f t="shared" si="18"/>
        <v>2.5916486340496334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6">
        <f>INDEX(Data!$C$63:$C$91,MATCH('RFPR cover'!$C$7,Data!$B$63:$B$91,0),0)</f>
        <v>0.5</v>
      </c>
      <c r="E51" s="506">
        <f>INDEX(Data!$C$63:$C$91,MATCH('RFPR cover'!$C$7,Data!$B$63:$B$91,0),0)</f>
        <v>0.5</v>
      </c>
      <c r="F51" s="506">
        <f>INDEX(Data!$C$63:$C$91,MATCH('RFPR cover'!$C$7,Data!$B$63:$B$91,0),0)</f>
        <v>0.5</v>
      </c>
      <c r="G51" s="506">
        <f>INDEX(Data!$C$63:$C$91,MATCH('RFPR cover'!$C$7,Data!$B$63:$B$91,0),0)</f>
        <v>0.5</v>
      </c>
      <c r="H51" s="506">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6">
        <f>D49*D51</f>
        <v>0.22513011445617614</v>
      </c>
      <c r="E53" s="496">
        <f t="shared" ref="E53:H53" si="19">E49*E51</f>
        <v>0.15575121286104121</v>
      </c>
      <c r="F53" s="496">
        <f t="shared" si="19"/>
        <v>0.22061487899004861</v>
      </c>
      <c r="G53" s="496">
        <f t="shared" si="19"/>
        <v>0.27957897234269957</v>
      </c>
      <c r="H53" s="496">
        <f t="shared" si="19"/>
        <v>0.41474913837484806</v>
      </c>
      <c r="I53" s="54">
        <f>SUM(D53:INDEX(D53:H53,0,MATCH('RFPR cover'!$C$9,$D$6:$H$6,0)))</f>
        <v>0.60149620630726597</v>
      </c>
      <c r="J53" s="82">
        <f>SUM(D53:H53)</f>
        <v>1.2958243170248136</v>
      </c>
      <c r="K53" s="114"/>
      <c r="L53" s="114"/>
      <c r="M53" s="114"/>
      <c r="N53" s="114"/>
      <c r="O53" s="114"/>
      <c r="P53" s="114"/>
      <c r="Q53" s="114"/>
      <c r="R53" s="114"/>
      <c r="S53" s="114"/>
    </row>
    <row r="54" spans="2:19">
      <c r="B54" s="389" t="s">
        <v>596</v>
      </c>
      <c r="C54" s="468" t="str">
        <f>Data!$C$9</f>
        <v>£m 18/19</v>
      </c>
      <c r="D54" s="496">
        <f>D49*(1-D51)</f>
        <v>0.22513011445617614</v>
      </c>
      <c r="E54" s="496">
        <f t="shared" ref="E54:H54" si="20">E49*(1-E51)</f>
        <v>0.15575121286104121</v>
      </c>
      <c r="F54" s="496">
        <f t="shared" si="20"/>
        <v>0.22061487899004861</v>
      </c>
      <c r="G54" s="496">
        <f t="shared" si="20"/>
        <v>0.27957897234269957</v>
      </c>
      <c r="H54" s="496">
        <f t="shared" si="20"/>
        <v>0.41474913837484806</v>
      </c>
      <c r="I54" s="83">
        <f>SUM(D54:INDEX(D54:H54,0,MATCH('RFPR cover'!$C$9,$D$6:$H$6,0)))</f>
        <v>0.60149620630726597</v>
      </c>
      <c r="J54" s="84">
        <f>SUM(D54:H54)</f>
        <v>1.2958243170248136</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6">
        <f>SUM(D57:D58)</f>
        <v>0</v>
      </c>
      <c r="E59" s="496">
        <f t="shared" ref="E59" si="22">SUM(E57:E58)</f>
        <v>0</v>
      </c>
      <c r="F59" s="496">
        <f t="shared" ref="F59" si="23">SUM(F57:F58)</f>
        <v>0</v>
      </c>
      <c r="G59" s="496">
        <f t="shared" ref="G59" si="24">SUM(G57:G58)</f>
        <v>0</v>
      </c>
      <c r="H59" s="496">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6">
        <f>SUM(D62:D63)</f>
        <v>0</v>
      </c>
      <c r="E64" s="496">
        <f t="shared" ref="E64:H64" si="27">SUM(E62:E63)</f>
        <v>0</v>
      </c>
      <c r="F64" s="496">
        <f t="shared" si="27"/>
        <v>0</v>
      </c>
      <c r="G64" s="496">
        <f t="shared" si="27"/>
        <v>0</v>
      </c>
      <c r="H64" s="496">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6">
        <f>D59*D51</f>
        <v>0</v>
      </c>
      <c r="E66" s="496">
        <f t="shared" ref="E66:H66" si="28">E59*E51</f>
        <v>0</v>
      </c>
      <c r="F66" s="496">
        <f t="shared" si="28"/>
        <v>0</v>
      </c>
      <c r="G66" s="496">
        <f t="shared" si="28"/>
        <v>0</v>
      </c>
      <c r="H66" s="496">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6">
        <f t="shared" ref="D67:H67" si="29">D59*(1-D51)+D64</f>
        <v>0</v>
      </c>
      <c r="E67" s="496">
        <f t="shared" si="29"/>
        <v>0</v>
      </c>
      <c r="F67" s="496">
        <f t="shared" si="29"/>
        <v>0</v>
      </c>
      <c r="G67" s="496">
        <f t="shared" si="29"/>
        <v>0</v>
      </c>
      <c r="H67" s="496">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6">
        <f>D66+D53</f>
        <v>0.22513011445617614</v>
      </c>
      <c r="E70" s="496">
        <f t="shared" ref="E70:H70" si="30">E66+E53</f>
        <v>0.15575121286104121</v>
      </c>
      <c r="F70" s="496">
        <f t="shared" si="30"/>
        <v>0.22061487899004861</v>
      </c>
      <c r="G70" s="496">
        <f t="shared" si="30"/>
        <v>0.27957897234269957</v>
      </c>
      <c r="H70" s="496">
        <f t="shared" si="30"/>
        <v>0.41474913837484806</v>
      </c>
      <c r="I70" s="15">
        <f>SUM(D70:INDEX(D70:H70,0,MATCH('RFPR cover'!$C$9,$D$6:$H$6,0)))</f>
        <v>0.60149620630726597</v>
      </c>
      <c r="J70" s="17">
        <f>SUM(D70:H70)</f>
        <v>1.2958243170248136</v>
      </c>
      <c r="K70" s="396"/>
      <c r="L70" s="396"/>
      <c r="M70" s="396"/>
      <c r="N70" s="396"/>
      <c r="O70" s="396"/>
      <c r="P70" s="396"/>
      <c r="Q70" s="396"/>
      <c r="R70" s="114"/>
      <c r="S70" s="114"/>
    </row>
    <row r="71" spans="2:20">
      <c r="B71" s="389" t="s">
        <v>596</v>
      </c>
      <c r="C71" s="468" t="str">
        <f>Data!$C$9</f>
        <v>£m 18/19</v>
      </c>
      <c r="D71" s="496">
        <f>D54+D67</f>
        <v>0.22513011445617614</v>
      </c>
      <c r="E71" s="496">
        <f t="shared" ref="E71:H71" si="31">E54+E67</f>
        <v>0.15575121286104121</v>
      </c>
      <c r="F71" s="496">
        <f t="shared" si="31"/>
        <v>0.22061487899004861</v>
      </c>
      <c r="G71" s="496">
        <f t="shared" si="31"/>
        <v>0.27957897234269957</v>
      </c>
      <c r="H71" s="496">
        <f t="shared" si="31"/>
        <v>0.41474913837484806</v>
      </c>
      <c r="I71" s="15">
        <f>SUM(D71:INDEX(D71:H71,0,MATCH('RFPR cover'!$C$9,$D$6:$H$6,0)))</f>
        <v>0.60149620630726597</v>
      </c>
      <c r="J71" s="17">
        <f t="shared" ref="J71" si="32">SUM(D71:H71)</f>
        <v>1.2958243170248136</v>
      </c>
      <c r="K71" s="396"/>
      <c r="L71" s="396"/>
      <c r="M71" s="396"/>
      <c r="N71" s="396"/>
      <c r="O71" s="396"/>
      <c r="P71" s="396"/>
      <c r="Q71" s="396"/>
      <c r="R71" s="114"/>
      <c r="S71" s="114"/>
    </row>
    <row r="72" spans="2:20">
      <c r="B72" s="396" t="s">
        <v>605</v>
      </c>
      <c r="C72" s="476" t="str">
        <f>Data!$C$9</f>
        <v>£m 18/19</v>
      </c>
      <c r="D72" s="496">
        <f>SUM(D70:D71)</f>
        <v>0.45026022891235229</v>
      </c>
      <c r="E72" s="496">
        <f t="shared" ref="E72:H72" si="33">SUM(E70:E71)</f>
        <v>0.31150242572208242</v>
      </c>
      <c r="F72" s="496">
        <f t="shared" si="33"/>
        <v>0.44122975798009723</v>
      </c>
      <c r="G72" s="496">
        <f t="shared" si="33"/>
        <v>0.55915794468539914</v>
      </c>
      <c r="H72" s="496">
        <f t="shared" si="33"/>
        <v>0.82949827674969612</v>
      </c>
      <c r="I72" s="15">
        <f>SUM(D72:INDEX(D72:H72,0,MATCH('RFPR cover'!$C$9,$D$6:$H$6,0)))</f>
        <v>1.2029924126145319</v>
      </c>
      <c r="J72" s="17">
        <f t="shared" ref="J72" si="34">SUM(D72:H72)</f>
        <v>2.5916486340496272</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75.708163650952343</v>
      </c>
      <c r="E76" s="469">
        <v>73.528822658811166</v>
      </c>
      <c r="F76" s="469">
        <v>76.365931464467252</v>
      </c>
      <c r="G76" s="469">
        <v>73.468507430118322</v>
      </c>
      <c r="H76" s="469">
        <v>73.374716454163362</v>
      </c>
      <c r="I76" s="502">
        <f>SUM(D76:INDEX(D76:H76,0,MATCH('RFPR cover'!$C$9,$D$6:$H$6,0)))</f>
        <v>225.60291777423075</v>
      </c>
      <c r="J76" s="503">
        <f>SUM(D76:H76)</f>
        <v>372.44614165851243</v>
      </c>
      <c r="K76" s="114"/>
      <c r="L76" s="114"/>
      <c r="M76" s="114"/>
      <c r="N76" s="114"/>
      <c r="O76" s="114"/>
      <c r="P76" s="114"/>
      <c r="Q76" s="114"/>
      <c r="R76" s="114"/>
      <c r="S76" s="114"/>
    </row>
    <row r="77" spans="2:20" ht="16.5" customHeight="1">
      <c r="B77" s="470" t="s">
        <v>609</v>
      </c>
      <c r="C77" s="478" t="str">
        <f>Data!$C$9</f>
        <v>£m 18/19</v>
      </c>
      <c r="D77" s="469">
        <v>80.332102937094888</v>
      </c>
      <c r="E77" s="469">
        <v>78.600671127958748</v>
      </c>
      <c r="F77" s="469">
        <v>79.940607050120633</v>
      </c>
      <c r="G77" s="469">
        <v>81.155178288451424</v>
      </c>
      <c r="H77" s="469">
        <v>81.395394253491489</v>
      </c>
      <c r="I77" s="507">
        <f>SUM(D77:INDEX(D77:H77,0,MATCH('RFPR cover'!$C$9,$D$6:$H$6,0)))</f>
        <v>238.87338111517428</v>
      </c>
      <c r="J77" s="508">
        <f>SUM(D77:H77)</f>
        <v>401.42395365711718</v>
      </c>
      <c r="K77" s="479"/>
      <c r="L77" s="479"/>
      <c r="M77" s="479"/>
      <c r="N77" s="479"/>
      <c r="O77" s="479"/>
      <c r="P77" s="479"/>
      <c r="Q77" s="479"/>
      <c r="R77" s="479"/>
      <c r="S77" s="479"/>
    </row>
    <row r="78" spans="2:20">
      <c r="B78" s="86" t="s">
        <v>593</v>
      </c>
      <c r="C78" s="468" t="str">
        <f>Data!$C$9</f>
        <v>£m 18/19</v>
      </c>
      <c r="D78" s="496">
        <f>D77-D76</f>
        <v>4.6239392861425443</v>
      </c>
      <c r="E78" s="496">
        <f t="shared" ref="E78:J78" si="35">E77-E76</f>
        <v>5.0718484691475823</v>
      </c>
      <c r="F78" s="496">
        <f t="shared" si="35"/>
        <v>3.5746755856533809</v>
      </c>
      <c r="G78" s="496">
        <f t="shared" si="35"/>
        <v>7.6866708583331018</v>
      </c>
      <c r="H78" s="496">
        <f t="shared" si="35"/>
        <v>8.0206777993281264</v>
      </c>
      <c r="I78" s="153">
        <f t="shared" si="35"/>
        <v>13.270463340943536</v>
      </c>
      <c r="J78" s="240">
        <f t="shared" si="35"/>
        <v>28.97781199860475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6">
        <f>INDEX(Data!$C$63:$C$91,MATCH('RFPR cover'!$C$7,Data!$B$63:$B$91,0),0)</f>
        <v>0.5</v>
      </c>
      <c r="E80" s="506">
        <f>INDEX(Data!$C$63:$C$91,MATCH('RFPR cover'!$C$7,Data!$B$63:$B$91,0),0)</f>
        <v>0.5</v>
      </c>
      <c r="F80" s="506">
        <f>INDEX(Data!$C$63:$C$91,MATCH('RFPR cover'!$C$7,Data!$B$63:$B$91,0),0)</f>
        <v>0.5</v>
      </c>
      <c r="G80" s="506">
        <f>INDEX(Data!$C$63:$C$91,MATCH('RFPR cover'!$C$7,Data!$B$63:$B$91,0),0)</f>
        <v>0.5</v>
      </c>
      <c r="H80" s="506">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6">
        <f>D78*D80</f>
        <v>2.3119696430712722</v>
      </c>
      <c r="E82" s="496">
        <f t="shared" ref="E82:H82" si="36">E78*E80</f>
        <v>2.5359242345737911</v>
      </c>
      <c r="F82" s="496">
        <f t="shared" si="36"/>
        <v>1.7873377928266905</v>
      </c>
      <c r="G82" s="496">
        <f t="shared" si="36"/>
        <v>3.8433354291665509</v>
      </c>
      <c r="H82" s="496">
        <f t="shared" si="36"/>
        <v>4.0103388996640632</v>
      </c>
      <c r="I82" s="54">
        <f>SUM(D82:INDEX(D82:H82,0,MATCH('RFPR cover'!$C$9,$D$6:$H$6,0)))</f>
        <v>6.6352316704717538</v>
      </c>
      <c r="J82" s="82">
        <f>SUM(D82:H82)</f>
        <v>14.488905999302368</v>
      </c>
      <c r="K82" s="114"/>
      <c r="L82" s="114"/>
      <c r="M82" s="114"/>
      <c r="N82" s="114"/>
      <c r="O82" s="114"/>
      <c r="P82" s="114"/>
      <c r="Q82" s="114"/>
      <c r="R82" s="114"/>
      <c r="S82" s="114"/>
    </row>
    <row r="83" spans="2:19">
      <c r="B83" s="389" t="s">
        <v>596</v>
      </c>
      <c r="C83" s="468" t="str">
        <f>Data!$C$9</f>
        <v>£m 18/19</v>
      </c>
      <c r="D83" s="496">
        <f>D78*(1-D80)</f>
        <v>2.3119696430712722</v>
      </c>
      <c r="E83" s="496">
        <f t="shared" ref="E83:H83" si="37">E78*(1-E80)</f>
        <v>2.5359242345737911</v>
      </c>
      <c r="F83" s="496">
        <f t="shared" si="37"/>
        <v>1.7873377928266905</v>
      </c>
      <c r="G83" s="496">
        <f t="shared" si="37"/>
        <v>3.8433354291665509</v>
      </c>
      <c r="H83" s="496">
        <f t="shared" si="37"/>
        <v>4.0103388996640632</v>
      </c>
      <c r="I83" s="83">
        <f>SUM(D83:INDEX(D83:H83,0,MATCH('RFPR cover'!$C$9,$D$6:$H$6,0)))</f>
        <v>6.6352316704717538</v>
      </c>
      <c r="J83" s="84">
        <f>SUM(D83:H83)</f>
        <v>14.488905999302368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6">
        <f>SUM(D86:D87)</f>
        <v>0</v>
      </c>
      <c r="E88" s="496">
        <f t="shared" ref="E88" si="39">SUM(E86:E87)</f>
        <v>0</v>
      </c>
      <c r="F88" s="496">
        <f t="shared" ref="F88" si="40">SUM(F86:F87)</f>
        <v>0</v>
      </c>
      <c r="G88" s="496">
        <f t="shared" ref="G88" si="41">SUM(G86:G87)</f>
        <v>0</v>
      </c>
      <c r="H88" s="496">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6">
        <f>D88*D80</f>
        <v>0</v>
      </c>
      <c r="E90" s="496">
        <f t="shared" ref="E90:H90" si="43">E88*E80</f>
        <v>0</v>
      </c>
      <c r="F90" s="496">
        <f t="shared" si="43"/>
        <v>0</v>
      </c>
      <c r="G90" s="496">
        <f t="shared" si="43"/>
        <v>0</v>
      </c>
      <c r="H90" s="496">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6">
        <f>D88*(1-D80)</f>
        <v>0</v>
      </c>
      <c r="E91" s="496">
        <f t="shared" ref="E91:H91" si="44">E88*(1-E80)</f>
        <v>0</v>
      </c>
      <c r="F91" s="496">
        <f t="shared" si="44"/>
        <v>0</v>
      </c>
      <c r="G91" s="496">
        <f t="shared" si="44"/>
        <v>0</v>
      </c>
      <c r="H91" s="496">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6">
        <f>D90+D82</f>
        <v>2.3119696430712722</v>
      </c>
      <c r="E94" s="496">
        <f t="shared" ref="E94:H94" si="45">E90+E82</f>
        <v>2.5359242345737911</v>
      </c>
      <c r="F94" s="496">
        <f t="shared" si="45"/>
        <v>1.7873377928266905</v>
      </c>
      <c r="G94" s="496">
        <f t="shared" si="45"/>
        <v>3.8433354291665509</v>
      </c>
      <c r="H94" s="496">
        <f t="shared" si="45"/>
        <v>4.0103388996640632</v>
      </c>
      <c r="I94" s="15">
        <f>SUM(D94:INDEX(D94:H94,0,MATCH('RFPR cover'!$C$9,$D$6:$H$6,0)))</f>
        <v>6.6352316704717538</v>
      </c>
      <c r="J94" s="17">
        <f>SUM(D94:H94)</f>
        <v>14.488905999302368</v>
      </c>
      <c r="K94" s="389"/>
      <c r="L94" s="389"/>
      <c r="M94" s="114"/>
      <c r="N94" s="114"/>
      <c r="O94" s="114"/>
      <c r="P94" s="114"/>
      <c r="Q94" s="114"/>
      <c r="R94" s="114"/>
      <c r="S94" s="114"/>
    </row>
    <row r="95" spans="2:19">
      <c r="B95" s="389" t="s">
        <v>596</v>
      </c>
      <c r="C95" s="468" t="str">
        <f>Data!$C$9</f>
        <v>£m 18/19</v>
      </c>
      <c r="D95" s="496">
        <f>D83+D91</f>
        <v>2.3119696430712722</v>
      </c>
      <c r="E95" s="496">
        <f t="shared" ref="E95:H95" si="46">E83+E91</f>
        <v>2.5359242345737911</v>
      </c>
      <c r="F95" s="496">
        <f t="shared" si="46"/>
        <v>1.7873377928266905</v>
      </c>
      <c r="G95" s="496">
        <f t="shared" si="46"/>
        <v>3.8433354291665509</v>
      </c>
      <c r="H95" s="496">
        <f t="shared" si="46"/>
        <v>4.0103388996640632</v>
      </c>
      <c r="I95" s="15">
        <f>SUM(D95:INDEX(D95:H95,0,MATCH('RFPR cover'!$C$9,$D$6:$H$6,0)))</f>
        <v>6.6352316704717538</v>
      </c>
      <c r="J95" s="17">
        <f t="shared" ref="J95:J96" si="47">SUM(D95:H95)</f>
        <v>14.488905999302368</v>
      </c>
      <c r="K95" s="389"/>
      <c r="L95" s="389"/>
      <c r="M95" s="114"/>
      <c r="N95" s="114"/>
      <c r="O95" s="114"/>
      <c r="P95" s="114"/>
      <c r="Q95" s="114"/>
      <c r="R95" s="114"/>
      <c r="S95" s="114"/>
    </row>
    <row r="96" spans="2:19">
      <c r="B96" s="396" t="s">
        <v>605</v>
      </c>
      <c r="C96" s="476" t="str">
        <f>Data!$C$9</f>
        <v>£m 18/19</v>
      </c>
      <c r="D96" s="496">
        <f>SUM(D94:D95)</f>
        <v>4.6239392861425443</v>
      </c>
      <c r="E96" s="496">
        <f t="shared" ref="E96:H96" si="48">SUM(E94:E95)</f>
        <v>5.0718484691475823</v>
      </c>
      <c r="F96" s="496">
        <f t="shared" si="48"/>
        <v>3.5746755856533809</v>
      </c>
      <c r="G96" s="496">
        <f t="shared" si="48"/>
        <v>7.6866708583331018</v>
      </c>
      <c r="H96" s="496">
        <f t="shared" si="48"/>
        <v>8.0206777993281264</v>
      </c>
      <c r="I96" s="15">
        <f>SUM(D96:INDEX(D96:H96,0,MATCH('RFPR cover'!$C$9,$D$6:$H$6,0)))</f>
        <v>13.270463340943508</v>
      </c>
      <c r="J96" s="17">
        <f t="shared" si="47"/>
        <v>28.977811998604736</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6">
        <f t="shared" ref="D101:H102" si="49">D41+D70+D94</f>
        <v>13.496754375414225</v>
      </c>
      <c r="E101" s="496">
        <f t="shared" si="49"/>
        <v>4.8112174122918958</v>
      </c>
      <c r="F101" s="496">
        <f t="shared" si="49"/>
        <v>1.0259866431065991</v>
      </c>
      <c r="G101" s="496">
        <f t="shared" si="49"/>
        <v>-3.1373508112280728</v>
      </c>
      <c r="H101" s="496">
        <f t="shared" si="49"/>
        <v>2.3513247708759586</v>
      </c>
      <c r="I101" s="15">
        <f>SUM(D101:INDEX(D101:H101,0,MATCH('RFPR cover'!$C$9,$D$6:$H$6,0)))</f>
        <v>19.333958430812721</v>
      </c>
      <c r="J101" s="17">
        <f>SUM(D101:H101)</f>
        <v>18.547932390460605</v>
      </c>
      <c r="Q101" s="114"/>
      <c r="R101" s="428"/>
      <c r="S101" s="114"/>
    </row>
    <row r="102" spans="2:19">
      <c r="B102" s="389" t="s">
        <v>596</v>
      </c>
      <c r="C102" s="468" t="str">
        <f>Data!$C$9</f>
        <v>£m 18/19</v>
      </c>
      <c r="D102" s="496">
        <f>D42+D71+D95</f>
        <v>13.496754375414225</v>
      </c>
      <c r="E102" s="496">
        <f t="shared" si="49"/>
        <v>4.8112174122918958</v>
      </c>
      <c r="F102" s="496">
        <f t="shared" si="49"/>
        <v>1.0259866431065991</v>
      </c>
      <c r="G102" s="496">
        <f t="shared" si="49"/>
        <v>-3.1373508112280728</v>
      </c>
      <c r="H102" s="496">
        <f t="shared" si="49"/>
        <v>2.3513247708759586</v>
      </c>
      <c r="I102" s="15">
        <f>SUM(D102:INDEX(D102:H102,0,MATCH('RFPR cover'!$C$9,$D$6:$H$6,0)))</f>
        <v>19.333958430812721</v>
      </c>
      <c r="J102" s="17">
        <f t="shared" ref="J102:J103" si="50">SUM(D102:H102)</f>
        <v>18.547932390460605</v>
      </c>
      <c r="Q102" s="114"/>
      <c r="R102" s="114"/>
      <c r="S102" s="114"/>
    </row>
    <row r="103" spans="2:19">
      <c r="B103" s="396" t="s">
        <v>613</v>
      </c>
      <c r="C103" s="476" t="str">
        <f>Data!$C$9</f>
        <v>£m 18/19</v>
      </c>
      <c r="D103" s="496">
        <f>SUM(D101:D102)</f>
        <v>26.99350875082845</v>
      </c>
      <c r="E103" s="496">
        <f t="shared" ref="E103:H103" si="51">SUM(E101:E102)</f>
        <v>9.6224348245837916</v>
      </c>
      <c r="F103" s="496">
        <f t="shared" si="51"/>
        <v>2.0519732862131983</v>
      </c>
      <c r="G103" s="496">
        <f t="shared" si="51"/>
        <v>-6.2747016224561456</v>
      </c>
      <c r="H103" s="496">
        <f t="shared" si="51"/>
        <v>4.7026495417519172</v>
      </c>
      <c r="I103" s="15">
        <f>SUM(D103:INDEX(D103:H103,0,MATCH('RFPR cover'!$C$9,$D$6:$H$6,0)))</f>
        <v>38.667916861625443</v>
      </c>
      <c r="J103" s="17">
        <f t="shared" si="50"/>
        <v>37.095864780921211</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1185</v>
      </c>
      <c r="C113" s="29" t="s">
        <v>522</v>
      </c>
      <c r="D113" s="401">
        <v>778</v>
      </c>
      <c r="E113" s="401">
        <v>886</v>
      </c>
      <c r="F113" s="401">
        <v>983</v>
      </c>
      <c r="G113" s="401"/>
      <c r="H113" s="401"/>
    </row>
    <row r="114" spans="1:19">
      <c r="B114" s="402" t="s">
        <v>1186</v>
      </c>
      <c r="C114" s="29" t="s">
        <v>522</v>
      </c>
      <c r="D114" s="401">
        <v>3</v>
      </c>
      <c r="E114" s="401">
        <v>2.2301176700000003</v>
      </c>
      <c r="F114" s="401">
        <v>2</v>
      </c>
      <c r="G114" s="401"/>
      <c r="H114" s="401"/>
    </row>
    <row r="115" spans="1:19">
      <c r="B115" s="402" t="s">
        <v>1187</v>
      </c>
      <c r="C115" s="29" t="s">
        <v>522</v>
      </c>
      <c r="D115" s="401">
        <v>-2</v>
      </c>
      <c r="E115" s="401">
        <v>-3</v>
      </c>
      <c r="F115" s="401">
        <v>-2</v>
      </c>
      <c r="G115" s="475"/>
      <c r="H115" s="475"/>
    </row>
    <row r="116" spans="1:19">
      <c r="B116" s="402" t="s">
        <v>1188</v>
      </c>
      <c r="C116" s="29" t="s">
        <v>522</v>
      </c>
      <c r="D116" s="401">
        <v>-52.795570429999998</v>
      </c>
      <c r="E116" s="401">
        <v>-52.275568610000008</v>
      </c>
      <c r="F116" s="401">
        <v>-35.672068329999995</v>
      </c>
      <c r="G116" s="401"/>
      <c r="H116" s="401"/>
    </row>
    <row r="117" spans="1:19">
      <c r="B117" s="402" t="s">
        <v>1189</v>
      </c>
      <c r="C117" s="29" t="s">
        <v>522</v>
      </c>
      <c r="D117" s="401">
        <v>0</v>
      </c>
      <c r="E117" s="401">
        <v>0</v>
      </c>
      <c r="F117" s="401">
        <v>0</v>
      </c>
      <c r="G117" s="475"/>
      <c r="H117" s="475"/>
      <c r="R117" s="114"/>
      <c r="S117" s="114"/>
    </row>
    <row r="118" spans="1:19">
      <c r="B118" s="402" t="s">
        <v>1190</v>
      </c>
      <c r="C118" s="29" t="s">
        <v>522</v>
      </c>
      <c r="D118" s="401">
        <v>0</v>
      </c>
      <c r="E118" s="401">
        <v>0</v>
      </c>
      <c r="F118" s="401">
        <v>0</v>
      </c>
      <c r="G118" s="484"/>
      <c r="H118" s="484"/>
    </row>
    <row r="119" spans="1:19">
      <c r="A119" s="480">
        <v>1</v>
      </c>
      <c r="B119" s="402" t="s">
        <v>553</v>
      </c>
      <c r="C119" s="29" t="s">
        <v>522</v>
      </c>
      <c r="D119" s="401">
        <v>0</v>
      </c>
      <c r="E119" s="401">
        <v>0</v>
      </c>
      <c r="F119" s="401">
        <v>0</v>
      </c>
      <c r="G119" s="485"/>
      <c r="H119" s="485"/>
    </row>
    <row r="120" spans="1:19">
      <c r="A120" s="480">
        <v>2</v>
      </c>
      <c r="B120" s="402" t="s">
        <v>553</v>
      </c>
      <c r="C120" s="29" t="s">
        <v>522</v>
      </c>
      <c r="D120" s="401">
        <v>0</v>
      </c>
      <c r="E120" s="401">
        <v>0</v>
      </c>
      <c r="F120" s="401">
        <v>0</v>
      </c>
      <c r="G120" s="475"/>
      <c r="H120" s="475"/>
    </row>
    <row r="121" spans="1:19">
      <c r="A121" s="480">
        <v>3</v>
      </c>
      <c r="B121" s="402" t="s">
        <v>616</v>
      </c>
      <c r="C121" s="29" t="s">
        <v>522</v>
      </c>
      <c r="D121" s="401">
        <v>0</v>
      </c>
      <c r="E121" s="401">
        <v>0</v>
      </c>
      <c r="F121" s="401">
        <v>0</v>
      </c>
      <c r="G121" s="486"/>
      <c r="H121" s="486"/>
    </row>
    <row r="122" spans="1:19">
      <c r="B122" s="482" t="s">
        <v>617</v>
      </c>
      <c r="C122" s="29" t="s">
        <v>522</v>
      </c>
      <c r="D122" s="509">
        <f t="shared" ref="D122:H122" si="54">SUM(D113:D121)</f>
        <v>726.20442957</v>
      </c>
      <c r="E122" s="509">
        <f t="shared" ref="E122" si="55">SUM(E113:E121)</f>
        <v>832.95454905999998</v>
      </c>
      <c r="F122" s="510">
        <f t="shared" si="54"/>
        <v>947.32793167</v>
      </c>
      <c r="G122" s="510">
        <f t="shared" si="54"/>
        <v>0</v>
      </c>
      <c r="H122" s="511">
        <f t="shared" si="54"/>
        <v>0</v>
      </c>
    </row>
    <row r="123" spans="1:19">
      <c r="B123" s="482"/>
      <c r="C123" s="482"/>
      <c r="D123" s="482"/>
      <c r="E123" s="482"/>
      <c r="F123" s="482"/>
      <c r="G123" s="482"/>
      <c r="H123" s="482"/>
      <c r="I123" s="482"/>
      <c r="J123" s="482"/>
      <c r="K123" s="482"/>
      <c r="L123" s="482"/>
      <c r="M123" s="482"/>
    </row>
    <row r="124" spans="1:19">
      <c r="A124" s="480"/>
      <c r="B124" s="402" t="s">
        <v>1191</v>
      </c>
      <c r="C124" s="29" t="s">
        <v>522</v>
      </c>
      <c r="D124" s="401">
        <v>402.46512377000005</v>
      </c>
      <c r="E124" s="401">
        <v>422.04473989999997</v>
      </c>
      <c r="F124" s="401">
        <v>462</v>
      </c>
      <c r="G124" s="401"/>
      <c r="H124" s="401"/>
    </row>
    <row r="125" spans="1:19" ht="21" customHeight="1">
      <c r="A125" s="480"/>
      <c r="B125" s="487" t="s">
        <v>618</v>
      </c>
      <c r="C125" s="480"/>
      <c r="D125" s="480"/>
      <c r="E125" s="480"/>
      <c r="F125" s="480"/>
      <c r="G125" s="480"/>
      <c r="H125" s="480"/>
      <c r="I125" s="480"/>
      <c r="J125" s="480"/>
      <c r="K125" s="29"/>
    </row>
    <row r="126" spans="1:19">
      <c r="A126" s="480">
        <v>1</v>
      </c>
      <c r="B126" s="402" t="s">
        <v>1192</v>
      </c>
      <c r="C126" s="29" t="s">
        <v>522</v>
      </c>
      <c r="D126" s="401">
        <v>896.53487623000001</v>
      </c>
      <c r="E126" s="401">
        <v>972.95526010000003</v>
      </c>
      <c r="F126" s="401">
        <v>922</v>
      </c>
      <c r="G126" s="485"/>
      <c r="H126" s="488"/>
    </row>
    <row r="127" spans="1:19">
      <c r="A127" s="480">
        <v>2</v>
      </c>
      <c r="B127" s="402" t="s">
        <v>553</v>
      </c>
      <c r="C127" s="29" t="s">
        <v>522</v>
      </c>
      <c r="D127" s="483">
        <v>0</v>
      </c>
      <c r="E127" s="483">
        <v>0</v>
      </c>
      <c r="F127" s="483">
        <v>0</v>
      </c>
      <c r="G127" s="475"/>
      <c r="H127" s="489"/>
    </row>
    <row r="128" spans="1:19">
      <c r="A128" s="480">
        <v>3</v>
      </c>
      <c r="B128" s="402" t="s">
        <v>616</v>
      </c>
      <c r="C128" s="29" t="s">
        <v>522</v>
      </c>
      <c r="D128" s="483">
        <v>0</v>
      </c>
      <c r="E128" s="483">
        <v>0</v>
      </c>
      <c r="F128" s="483">
        <v>0</v>
      </c>
      <c r="G128" s="484"/>
      <c r="H128" s="490"/>
    </row>
    <row r="129" spans="1:14">
      <c r="A129" s="480"/>
      <c r="B129" s="482" t="s">
        <v>619</v>
      </c>
      <c r="C129" s="29" t="s">
        <v>522</v>
      </c>
      <c r="D129" s="512">
        <f>SUM(D126:D128)</f>
        <v>896.53487623000001</v>
      </c>
      <c r="E129" s="512">
        <f t="shared" ref="E129:H129" si="56">SUM(E126:E128)</f>
        <v>972.95526010000003</v>
      </c>
      <c r="F129" s="512">
        <f t="shared" si="56"/>
        <v>922</v>
      </c>
      <c r="G129" s="512">
        <f t="shared" si="56"/>
        <v>0</v>
      </c>
      <c r="H129" s="512">
        <f t="shared" si="56"/>
        <v>0</v>
      </c>
    </row>
    <row r="130" spans="1:14">
      <c r="A130" s="480"/>
      <c r="B130" s="482"/>
      <c r="C130" s="482"/>
      <c r="D130" s="482"/>
      <c r="E130" s="482"/>
      <c r="F130" s="482"/>
      <c r="G130" s="482"/>
      <c r="H130" s="482"/>
      <c r="I130" s="482"/>
      <c r="J130" s="482"/>
      <c r="K130" s="482"/>
      <c r="L130" s="482"/>
      <c r="M130" s="482"/>
      <c r="N130" s="482"/>
    </row>
    <row r="131" spans="1:14" s="487" customFormat="1" ht="15" customHeight="1">
      <c r="B131" s="491" t="s">
        <v>620</v>
      </c>
      <c r="C131" s="136" t="s">
        <v>522</v>
      </c>
      <c r="D131" s="496">
        <f>SUM(D122,D124,D129)</f>
        <v>2025.20442957</v>
      </c>
      <c r="E131" s="496">
        <f t="shared" ref="E131:H131" si="57">SUM(E122,E124,E129)</f>
        <v>2227.9545490599999</v>
      </c>
      <c r="F131" s="496">
        <f t="shared" si="57"/>
        <v>2331.32793167</v>
      </c>
      <c r="G131" s="496">
        <f t="shared" si="57"/>
        <v>0</v>
      </c>
      <c r="H131" s="496">
        <f t="shared" si="57"/>
        <v>0</v>
      </c>
    </row>
    <row r="132" spans="1:14" ht="10.5" customHeight="1">
      <c r="B132" s="339"/>
      <c r="D132" s="492"/>
      <c r="E132" s="492"/>
      <c r="F132" s="492"/>
      <c r="G132" s="492"/>
      <c r="H132" s="492"/>
    </row>
    <row r="133" spans="1:14" ht="26.5" customHeight="1">
      <c r="B133" s="482" t="s">
        <v>621</v>
      </c>
    </row>
    <row r="134" spans="1:14">
      <c r="B134" s="493" t="s">
        <v>622</v>
      </c>
    </row>
    <row r="135" spans="1:14">
      <c r="A135" s="480">
        <v>1</v>
      </c>
      <c r="B135" s="402" t="s">
        <v>1191</v>
      </c>
      <c r="C135" s="29" t="s">
        <v>522</v>
      </c>
      <c r="D135" s="401">
        <v>-402.46512377000005</v>
      </c>
      <c r="E135" s="401">
        <v>-422.04473989999997</v>
      </c>
      <c r="F135" s="401">
        <v>-462</v>
      </c>
      <c r="G135" s="494"/>
      <c r="H135" s="494"/>
    </row>
    <row r="136" spans="1:14" ht="7" customHeight="1">
      <c r="A136" s="480"/>
      <c r="B136" s="480"/>
      <c r="C136" s="480"/>
      <c r="D136" s="480"/>
      <c r="E136" s="480"/>
      <c r="F136" s="480"/>
    </row>
    <row r="137" spans="1:14">
      <c r="A137" s="480">
        <v>2</v>
      </c>
      <c r="B137" s="402" t="s">
        <v>1193</v>
      </c>
      <c r="C137" s="29" t="s">
        <v>522</v>
      </c>
      <c r="D137" s="401">
        <v>-10.403745859999999</v>
      </c>
      <c r="E137" s="401">
        <v>-12.348713369999999</v>
      </c>
      <c r="F137" s="401">
        <v>-12.359298900000001</v>
      </c>
      <c r="G137" s="494"/>
      <c r="H137" s="494"/>
    </row>
    <row r="138" spans="1:14">
      <c r="A138" s="480">
        <v>3</v>
      </c>
      <c r="B138" s="402" t="s">
        <v>1194</v>
      </c>
      <c r="C138" s="29" t="s">
        <v>522</v>
      </c>
      <c r="D138" s="401">
        <v>1.79347046</v>
      </c>
      <c r="E138" s="401">
        <v>2.6852506800000002</v>
      </c>
      <c r="F138" s="401">
        <v>1.4039225099999999</v>
      </c>
      <c r="G138" s="494"/>
      <c r="H138" s="494"/>
    </row>
    <row r="139" spans="1:14">
      <c r="A139" s="480">
        <v>4</v>
      </c>
      <c r="B139" s="402" t="s">
        <v>1195</v>
      </c>
      <c r="C139" s="29" t="s">
        <v>522</v>
      </c>
      <c r="D139" s="401">
        <v>-4.6525753400000003</v>
      </c>
      <c r="E139" s="401">
        <v>-6.1055971900000001</v>
      </c>
      <c r="F139" s="401">
        <v>-8.8250174499999989</v>
      </c>
      <c r="G139" s="494"/>
      <c r="H139" s="494"/>
    </row>
    <row r="140" spans="1:14">
      <c r="A140" s="480">
        <v>5</v>
      </c>
      <c r="B140" s="402" t="s">
        <v>1196</v>
      </c>
      <c r="C140" s="29" t="s">
        <v>522</v>
      </c>
      <c r="D140" s="401">
        <v>-9.5392999500000002</v>
      </c>
      <c r="E140" s="401">
        <v>-20.840480009999997</v>
      </c>
      <c r="F140" s="401">
        <v>-23.052216530000003</v>
      </c>
      <c r="G140" s="494"/>
      <c r="H140" s="494"/>
    </row>
    <row r="141" spans="1:14">
      <c r="A141" s="480">
        <v>6</v>
      </c>
      <c r="B141" s="402" t="s">
        <v>1197</v>
      </c>
      <c r="C141" s="29" t="s">
        <v>522</v>
      </c>
      <c r="D141" s="401">
        <v>2.271888659203237</v>
      </c>
      <c r="E141" s="401">
        <v>1.4671839954818382</v>
      </c>
      <c r="F141" s="401">
        <v>0.43522765125667284</v>
      </c>
      <c r="G141" s="494"/>
      <c r="H141" s="494"/>
    </row>
    <row r="142" spans="1:14">
      <c r="A142" s="480">
        <v>7</v>
      </c>
      <c r="B142" s="402" t="s">
        <v>1198</v>
      </c>
      <c r="C142" s="29" t="s">
        <v>522</v>
      </c>
      <c r="D142" s="401">
        <v>1.3708620000000005E-2</v>
      </c>
      <c r="E142" s="401">
        <v>-6.0820190800000002</v>
      </c>
      <c r="F142" s="401">
        <v>-4.7142196699999994</v>
      </c>
      <c r="G142" s="494"/>
      <c r="H142" s="494"/>
    </row>
    <row r="143" spans="1:14">
      <c r="A143" s="480">
        <v>8</v>
      </c>
      <c r="B143" s="402" t="s">
        <v>1199</v>
      </c>
      <c r="C143" s="29" t="s">
        <v>522</v>
      </c>
      <c r="D143" s="401">
        <v>10.0745662</v>
      </c>
      <c r="E143" s="401">
        <v>12.826214850000001</v>
      </c>
      <c r="F143" s="401">
        <v>21.021187739999995</v>
      </c>
      <c r="G143" s="494"/>
      <c r="H143" s="494"/>
    </row>
    <row r="144" spans="1:14">
      <c r="A144" s="480">
        <v>9</v>
      </c>
      <c r="B144" s="402" t="s">
        <v>1200</v>
      </c>
      <c r="C144" s="29" t="s">
        <v>522</v>
      </c>
      <c r="D144" s="401">
        <v>-8.8624058323207784</v>
      </c>
      <c r="E144" s="401">
        <v>-8.8170855893074123</v>
      </c>
      <c r="F144" s="401">
        <v>0</v>
      </c>
      <c r="G144" s="494"/>
      <c r="H144" s="494"/>
    </row>
    <row r="145" spans="1:8">
      <c r="A145" s="480">
        <v>10</v>
      </c>
      <c r="B145" s="402" t="s">
        <v>1201</v>
      </c>
      <c r="C145" s="29" t="s">
        <v>522</v>
      </c>
      <c r="D145" s="401">
        <v>-7.1329575300000014</v>
      </c>
      <c r="E145" s="401">
        <v>-0.11766795621000002</v>
      </c>
      <c r="F145" s="401">
        <v>0</v>
      </c>
      <c r="G145" s="494"/>
      <c r="H145" s="494"/>
    </row>
    <row r="146" spans="1:8">
      <c r="A146" s="480">
        <v>11</v>
      </c>
      <c r="B146" s="402" t="s">
        <v>1202</v>
      </c>
      <c r="C146" s="29" t="s">
        <v>522</v>
      </c>
      <c r="D146" s="401">
        <v>-3.1436647999999998</v>
      </c>
      <c r="E146" s="401">
        <v>-7.5032499599999998</v>
      </c>
      <c r="F146" s="401">
        <v>-17.276408409999998</v>
      </c>
      <c r="G146" s="494"/>
      <c r="H146" s="494"/>
    </row>
    <row r="147" spans="1:8">
      <c r="A147" s="480">
        <v>12</v>
      </c>
      <c r="B147" s="402" t="s">
        <v>1203</v>
      </c>
      <c r="C147" s="29" t="s">
        <v>522</v>
      </c>
      <c r="D147" s="401">
        <v>-1.2276182099999999</v>
      </c>
      <c r="E147" s="401">
        <v>-1.3463770400000001</v>
      </c>
      <c r="F147" s="401">
        <v>-0.9942915200000001</v>
      </c>
      <c r="G147" s="494"/>
      <c r="H147" s="494"/>
    </row>
    <row r="148" spans="1:8">
      <c r="A148" s="480">
        <v>13</v>
      </c>
      <c r="B148" s="402" t="s">
        <v>1204</v>
      </c>
      <c r="C148" s="29" t="s">
        <v>522</v>
      </c>
      <c r="D148" s="401">
        <v>0.62262600000000001</v>
      </c>
      <c r="E148" s="401">
        <v>2.1177222325000002</v>
      </c>
      <c r="F148" s="401">
        <v>0</v>
      </c>
      <c r="G148" s="494"/>
      <c r="H148" s="494"/>
    </row>
    <row r="149" spans="1:8">
      <c r="A149" s="480"/>
      <c r="B149" s="402" t="s">
        <v>1205</v>
      </c>
      <c r="C149" s="29" t="s">
        <v>522</v>
      </c>
      <c r="D149" s="401">
        <v>5.7517872397326855</v>
      </c>
      <c r="E149" s="401">
        <v>5.7223739629771577</v>
      </c>
      <c r="F149" s="401">
        <v>0</v>
      </c>
      <c r="G149" s="494"/>
      <c r="H149" s="494"/>
    </row>
    <row r="150" spans="1:8">
      <c r="A150" s="480"/>
      <c r="B150" s="402" t="s">
        <v>1206</v>
      </c>
      <c r="C150" s="29" t="s">
        <v>522</v>
      </c>
      <c r="D150" s="401">
        <v>0.70757203000000002</v>
      </c>
      <c r="E150" s="401">
        <v>0.55837178523449893</v>
      </c>
      <c r="F150" s="401">
        <v>0</v>
      </c>
      <c r="G150" s="494"/>
      <c r="H150" s="494"/>
    </row>
    <row r="151" spans="1:8">
      <c r="A151" s="480"/>
      <c r="B151" s="402" t="s">
        <v>1207</v>
      </c>
      <c r="C151" s="29" t="s">
        <v>522</v>
      </c>
      <c r="D151" s="401">
        <v>0</v>
      </c>
      <c r="E151" s="401">
        <v>0</v>
      </c>
      <c r="F151" s="401">
        <v>-5.4841336000000016</v>
      </c>
      <c r="G151" s="494"/>
      <c r="H151" s="494"/>
    </row>
    <row r="152" spans="1:8">
      <c r="A152" s="480"/>
      <c r="B152" s="402" t="s">
        <v>1208</v>
      </c>
      <c r="C152" s="29" t="s">
        <v>522</v>
      </c>
      <c r="D152" s="401">
        <v>0</v>
      </c>
      <c r="E152" s="401">
        <v>0</v>
      </c>
      <c r="F152" s="401">
        <v>13.588519280000002</v>
      </c>
      <c r="G152" s="494"/>
      <c r="H152" s="494"/>
    </row>
    <row r="153" spans="1:8">
      <c r="A153" s="480">
        <v>14</v>
      </c>
      <c r="B153" s="402" t="s">
        <v>1209</v>
      </c>
      <c r="C153" s="29" t="s">
        <v>522</v>
      </c>
      <c r="D153" s="401">
        <v>0</v>
      </c>
      <c r="E153" s="401">
        <v>0</v>
      </c>
      <c r="F153" s="401">
        <v>-0.41208384000000003</v>
      </c>
      <c r="G153" s="494"/>
      <c r="H153" s="494"/>
    </row>
    <row r="154" spans="1:8">
      <c r="A154" s="480"/>
      <c r="B154" s="402" t="s">
        <v>1210</v>
      </c>
      <c r="C154" s="29" t="s">
        <v>522</v>
      </c>
      <c r="D154" s="401">
        <v>-3.2457352284438898E-2</v>
      </c>
      <c r="E154" s="401">
        <v>-4.4953811088703333E-2</v>
      </c>
      <c r="F154" s="401">
        <v>1.4</v>
      </c>
      <c r="G154" s="494"/>
      <c r="H154" s="494"/>
    </row>
    <row r="155" spans="1:8">
      <c r="A155" s="480"/>
      <c r="B155" s="402" t="s">
        <v>1211</v>
      </c>
      <c r="C155" s="29" t="s">
        <v>522</v>
      </c>
      <c r="D155" s="401">
        <v>0</v>
      </c>
      <c r="E155" s="401">
        <v>0</v>
      </c>
      <c r="F155" s="401">
        <v>2.0155498399999994</v>
      </c>
      <c r="G155" s="494"/>
      <c r="H155" s="494"/>
    </row>
    <row r="156" spans="1:8">
      <c r="A156" s="480"/>
      <c r="B156" s="402" t="s">
        <v>1212</v>
      </c>
      <c r="C156" s="29" t="s">
        <v>522</v>
      </c>
      <c r="D156" s="401">
        <v>-737.40030186000331</v>
      </c>
      <c r="E156" s="401">
        <v>-801.42288615852101</v>
      </c>
      <c r="F156" s="401">
        <v>-734.71864335994655</v>
      </c>
      <c r="G156" s="494"/>
      <c r="H156" s="494"/>
    </row>
    <row r="157" spans="1:8" ht="18.649999999999999" customHeight="1">
      <c r="A157" s="480"/>
      <c r="B157" s="339" t="s">
        <v>623</v>
      </c>
      <c r="C157" s="29" t="s">
        <v>522</v>
      </c>
      <c r="D157" s="513">
        <f>SUM(D137:D156)</f>
        <v>-761.15940752567258</v>
      </c>
      <c r="E157" s="513">
        <f t="shared" ref="E157:F157" si="58">SUM(E137:E156)</f>
        <v>-839.25191265893363</v>
      </c>
      <c r="F157" s="513">
        <f t="shared" si="58"/>
        <v>-767.97190625868984</v>
      </c>
      <c r="G157" s="513">
        <f t="shared" ref="G157:H157" si="59">SUM(G137:G153)</f>
        <v>0</v>
      </c>
      <c r="H157" s="513">
        <f t="shared" si="59"/>
        <v>0</v>
      </c>
    </row>
    <row r="158" spans="1:8">
      <c r="A158" s="480"/>
      <c r="B158" s="493" t="s">
        <v>624</v>
      </c>
      <c r="C158" s="482"/>
      <c r="D158" s="482"/>
      <c r="E158" s="482"/>
      <c r="F158" s="482"/>
      <c r="G158" s="482"/>
      <c r="H158" s="482"/>
    </row>
    <row r="159" spans="1:8">
      <c r="A159" s="480">
        <v>15</v>
      </c>
      <c r="B159" s="402" t="s">
        <v>1213</v>
      </c>
      <c r="C159" s="29" t="s">
        <v>522</v>
      </c>
      <c r="D159" s="401">
        <v>-2.50674624</v>
      </c>
      <c r="E159" s="401">
        <v>-1.8582495141923483</v>
      </c>
      <c r="F159" s="401">
        <v>-1.8569481183156695</v>
      </c>
      <c r="G159" s="401"/>
      <c r="H159" s="401"/>
    </row>
    <row r="160" spans="1:8">
      <c r="A160" s="480">
        <v>16</v>
      </c>
      <c r="B160" s="402" t="s">
        <v>1214</v>
      </c>
      <c r="C160" s="29" t="s">
        <v>522</v>
      </c>
      <c r="D160" s="401">
        <v>-56</v>
      </c>
      <c r="E160" s="401">
        <v>-31</v>
      </c>
      <c r="F160" s="401">
        <v>-41</v>
      </c>
      <c r="G160" s="401"/>
      <c r="H160" s="401"/>
    </row>
    <row r="161" spans="1:19">
      <c r="A161" s="480">
        <v>17</v>
      </c>
      <c r="B161" s="402" t="s">
        <v>1215</v>
      </c>
      <c r="C161" s="29" t="s">
        <v>522</v>
      </c>
      <c r="D161" s="401">
        <v>-2.5877505599999999</v>
      </c>
      <c r="E161" s="401">
        <v>-2.30118592</v>
      </c>
      <c r="F161" s="401">
        <v>-1.2963666200000001</v>
      </c>
      <c r="G161" s="401"/>
      <c r="H161" s="401"/>
    </row>
    <row r="162" spans="1:19">
      <c r="A162" s="480">
        <v>18</v>
      </c>
      <c r="B162" s="402" t="s">
        <v>1195</v>
      </c>
      <c r="C162" s="29" t="s">
        <v>522</v>
      </c>
      <c r="D162" s="401">
        <v>0</v>
      </c>
      <c r="E162" s="401">
        <v>-1.6748000000000001</v>
      </c>
      <c r="F162" s="401">
        <v>0</v>
      </c>
      <c r="G162" s="401"/>
      <c r="H162" s="401"/>
      <c r="R162" s="114"/>
      <c r="S162" s="114"/>
    </row>
    <row r="163" spans="1:19">
      <c r="A163" s="480">
        <v>19</v>
      </c>
      <c r="B163" s="402" t="s">
        <v>1216</v>
      </c>
      <c r="C163" s="29" t="s">
        <v>522</v>
      </c>
      <c r="D163" s="401">
        <v>0</v>
      </c>
      <c r="E163" s="401">
        <v>0</v>
      </c>
      <c r="F163" s="401">
        <v>5.4841336000000016</v>
      </c>
      <c r="G163" s="401"/>
      <c r="H163" s="401"/>
      <c r="R163" s="114"/>
      <c r="S163" s="114"/>
    </row>
    <row r="164" spans="1:19">
      <c r="A164" s="480">
        <v>20</v>
      </c>
      <c r="B164" s="402" t="s">
        <v>1208</v>
      </c>
      <c r="C164" s="29" t="s">
        <v>522</v>
      </c>
      <c r="D164" s="401">
        <v>0</v>
      </c>
      <c r="E164" s="401">
        <v>0</v>
      </c>
      <c r="F164" s="401">
        <v>-13.588519280000002</v>
      </c>
      <c r="G164" s="401"/>
      <c r="H164" s="401"/>
      <c r="R164" s="114"/>
      <c r="S164" s="114"/>
    </row>
    <row r="165" spans="1:19">
      <c r="A165" s="480">
        <v>21</v>
      </c>
      <c r="B165" s="402" t="s">
        <v>1209</v>
      </c>
      <c r="C165" s="29" t="s">
        <v>522</v>
      </c>
      <c r="D165" s="401">
        <v>0</v>
      </c>
      <c r="E165" s="401">
        <v>0</v>
      </c>
      <c r="F165" s="401">
        <v>0.41208384000000003</v>
      </c>
      <c r="G165" s="401"/>
      <c r="H165" s="401"/>
      <c r="R165" s="114"/>
      <c r="S165" s="114"/>
    </row>
    <row r="166" spans="1:19">
      <c r="A166" s="480">
        <v>22</v>
      </c>
      <c r="B166" s="402" t="s">
        <v>1217</v>
      </c>
      <c r="D166" s="401">
        <v>-536.22650481993173</v>
      </c>
      <c r="E166" s="401">
        <v>-634.2962992197339</v>
      </c>
      <c r="F166" s="401">
        <v>-758.39296149221047</v>
      </c>
      <c r="G166" s="1286"/>
      <c r="H166" s="1286"/>
      <c r="R166" s="114"/>
      <c r="S166" s="114"/>
    </row>
    <row r="167" spans="1:19">
      <c r="A167" s="480">
        <v>23</v>
      </c>
      <c r="B167" s="402" t="s">
        <v>553</v>
      </c>
      <c r="D167" s="401">
        <v>0</v>
      </c>
      <c r="E167" s="401">
        <v>0</v>
      </c>
      <c r="F167" s="401">
        <v>0.2</v>
      </c>
      <c r="G167" s="1286"/>
      <c r="H167" s="1286"/>
      <c r="R167" s="114"/>
      <c r="S167" s="114"/>
    </row>
    <row r="168" spans="1:19" ht="19.5" customHeight="1" thickBot="1">
      <c r="A168" s="480"/>
      <c r="B168" s="339" t="s">
        <v>625</v>
      </c>
      <c r="C168" s="29" t="s">
        <v>522</v>
      </c>
      <c r="D168" s="514">
        <f>SUM(D159:D167)</f>
        <v>-597.32100161993174</v>
      </c>
      <c r="E168" s="514">
        <f t="shared" ref="E168:F168" si="60">SUM(E159:E167)</f>
        <v>-671.13053465392625</v>
      </c>
      <c r="F168" s="514">
        <f t="shared" si="60"/>
        <v>-810.03857807052611</v>
      </c>
      <c r="G168" s="514">
        <f t="shared" ref="G168:H168" si="61">SUM(G159:G165)</f>
        <v>0</v>
      </c>
      <c r="H168" s="514">
        <f t="shared" si="61"/>
        <v>0</v>
      </c>
      <c r="R168" s="114"/>
      <c r="S168" s="114"/>
    </row>
    <row r="169" spans="1:19" ht="17.5" customHeight="1" thickBot="1">
      <c r="B169" s="482" t="s">
        <v>626</v>
      </c>
      <c r="C169" s="29" t="s">
        <v>522</v>
      </c>
      <c r="D169" s="515">
        <f>D135+D157+D168</f>
        <v>-1760.9455329156044</v>
      </c>
      <c r="E169" s="516">
        <f>E135+E157+E168</f>
        <v>-1932.4271872128597</v>
      </c>
      <c r="F169" s="516">
        <f>F135+F157+F168</f>
        <v>-2040.0104843292161</v>
      </c>
      <c r="G169" s="516">
        <f>G135+G157+G168</f>
        <v>0</v>
      </c>
      <c r="H169" s="517">
        <f>H135+H157+H168</f>
        <v>0</v>
      </c>
      <c r="R169" s="114"/>
      <c r="S169" s="114"/>
    </row>
    <row r="170" spans="1:19">
      <c r="B170" s="339"/>
      <c r="D170" s="492"/>
      <c r="E170" s="492"/>
      <c r="F170" s="492"/>
      <c r="G170" s="492"/>
      <c r="H170" s="492"/>
      <c r="R170" s="114"/>
      <c r="S170" s="114"/>
    </row>
    <row r="171" spans="1:19">
      <c r="B171" s="482" t="s">
        <v>627</v>
      </c>
      <c r="C171" s="29" t="s">
        <v>522</v>
      </c>
      <c r="D171" s="496">
        <f>D169+D131</f>
        <v>264.25889665439558</v>
      </c>
      <c r="E171" s="496">
        <f>E169+E131</f>
        <v>295.52736184714013</v>
      </c>
      <c r="F171" s="496">
        <f>F169+F131</f>
        <v>291.31744734078393</v>
      </c>
      <c r="G171" s="496">
        <f>G169+G131</f>
        <v>0</v>
      </c>
      <c r="H171" s="496">
        <f>H169+H131</f>
        <v>0</v>
      </c>
      <c r="R171" s="428"/>
      <c r="S171" s="114"/>
    </row>
    <row r="172" spans="1:19">
      <c r="B172" s="1217" t="s">
        <v>628</v>
      </c>
      <c r="C172" s="29" t="str">
        <f>Price_basis</f>
        <v>£m 18/19</v>
      </c>
      <c r="D172" s="495">
        <v>243.60518876862628</v>
      </c>
      <c r="E172" s="495">
        <v>250.45459708893969</v>
      </c>
      <c r="F172" s="495">
        <v>233.95019717431293</v>
      </c>
      <c r="G172" s="495"/>
      <c r="H172" s="495"/>
      <c r="I172" s="339" t="s">
        <v>629</v>
      </c>
      <c r="R172" s="114"/>
      <c r="S172" s="114"/>
    </row>
    <row r="173" spans="1:19">
      <c r="B173" s="1217" t="s">
        <v>630</v>
      </c>
      <c r="C173" s="29" t="s">
        <v>522</v>
      </c>
      <c r="D173" s="495">
        <v>0</v>
      </c>
      <c r="E173" s="495">
        <v>0</v>
      </c>
      <c r="F173" s="495">
        <v>0</v>
      </c>
      <c r="G173" s="495"/>
      <c r="H173" s="495"/>
      <c r="I173" s="339" t="s">
        <v>629</v>
      </c>
    </row>
    <row r="174" spans="1:19">
      <c r="B174" s="339" t="s">
        <v>631</v>
      </c>
      <c r="C174" s="29" t="s">
        <v>522</v>
      </c>
      <c r="D174" s="518">
        <f>IF(Licensee="ESO",D173, IF(Sector="ED2",D173,D172*INDEX(real_to_nominal_CF,MATCH(D6,calendar_year,0))))</f>
        <v>264.25889665439553</v>
      </c>
      <c r="E174" s="518">
        <f>IF(Licensee="ESO",E173, IF(Sector="ED2",E173,E172*INDEX(real_to_nominal_CF,MATCH(E6,calendar_year,0))))</f>
        <v>295.52736184714001</v>
      </c>
      <c r="F174" s="518">
        <f>IF(Licensee="ESO",F173, IF(Sector="ED2",F173,F172*INDEX(real_to_nominal_CF,MATCH(F6,calendar_year,0))))</f>
        <v>291.36514212216571</v>
      </c>
      <c r="G174" s="518">
        <f>IF(Licensee="ESO",G173, IF(Sector="ED2",G173,G172*INDEX(real_to_nominal_CF,MATCH(G6,calendar_year,0))))</f>
        <v>0</v>
      </c>
      <c r="H174" s="518">
        <f>IF(Licensee="ESO",H173, IF(Sector="ED2",H173,H172*INDEX(real_to_nominal_CF,MATCH(H6,calendar_year,0))))</f>
        <v>0</v>
      </c>
      <c r="I174" s="114"/>
      <c r="R174" s="114"/>
      <c r="S174" s="114"/>
    </row>
    <row r="175" spans="1:19">
      <c r="B175" s="339"/>
      <c r="C175" s="29" t="s">
        <v>632</v>
      </c>
      <c r="D175" s="519" t="str">
        <f>IF(ISNUMBER(D174),IF(D$108="Actuals",IF(ABS(D171-D174)&lt;materiality_threshold,"OK","ERROR"),"N/A"),"'NA'")</f>
        <v>OK</v>
      </c>
      <c r="E175" s="519" t="str">
        <f>IF(ISNUMBER(E174),IF(E$108="Actuals",IF(ABS(E171-E174)&lt;materiality_threshold,"OK","ERROR"),"N/A"),"'NA'")</f>
        <v>OK</v>
      </c>
      <c r="F175" s="519" t="str">
        <f>IF(ISNUMBER(F174),IF(F$108="Actuals",IF(ABS(F171-F174)&lt;materiality_threshold,"OK","ERROR"),"N/A"),"'NA'")</f>
        <v>OK</v>
      </c>
      <c r="G175" s="519" t="str">
        <f>IF(ISNUMBER(G174),"N/A",IF(G$108="Actuals",IF(ABS(G171-G174)&lt;materiality_threshold,"OK","ERROR"),"N/A"))</f>
        <v>N/A</v>
      </c>
      <c r="H175" s="519" t="str">
        <f>IF(ISNUMBER(H174),"N/A",IF(H$108="Actuals",IF(ABS(H171-H174)&lt;materiality_threshold,"OK","ERROR"),"N/A"))</f>
        <v>N/A</v>
      </c>
      <c r="I175" s="339" t="s">
        <v>633</v>
      </c>
      <c r="R175" s="114"/>
      <c r="S175" s="114"/>
    </row>
    <row r="176" spans="1:19">
      <c r="B176" s="339" t="s">
        <v>244</v>
      </c>
      <c r="R176" s="114"/>
      <c r="S176" s="114"/>
    </row>
    <row r="177" spans="1:19">
      <c r="B177" s="482" t="s">
        <v>634</v>
      </c>
    </row>
    <row r="178" spans="1:19">
      <c r="A178" s="480">
        <v>1</v>
      </c>
      <c r="B178" s="402" t="s">
        <v>1218</v>
      </c>
      <c r="C178" s="29" t="s">
        <v>522</v>
      </c>
      <c r="D178" s="401">
        <v>13.159114836665713</v>
      </c>
      <c r="E178" s="401">
        <v>14.352937345963699</v>
      </c>
      <c r="F178" s="401">
        <v>6.5337862641035889</v>
      </c>
      <c r="G178" s="401"/>
      <c r="H178" s="401"/>
    </row>
    <row r="179" spans="1:19">
      <c r="A179" s="480">
        <v>2</v>
      </c>
      <c r="B179" s="402" t="s">
        <v>1219</v>
      </c>
      <c r="C179" s="29" t="s">
        <v>522</v>
      </c>
      <c r="D179" s="401">
        <v>1.9317941339999998</v>
      </c>
      <c r="E179" s="401">
        <v>2.0006217873699996</v>
      </c>
      <c r="F179" s="401">
        <v>2.4067990756307172</v>
      </c>
      <c r="G179" s="475"/>
      <c r="H179" s="475"/>
    </row>
    <row r="180" spans="1:19">
      <c r="A180" s="480">
        <v>3</v>
      </c>
      <c r="B180" s="402" t="s">
        <v>1220</v>
      </c>
      <c r="C180" s="29" t="s">
        <v>522</v>
      </c>
      <c r="D180" s="401">
        <v>37.990297599999998</v>
      </c>
      <c r="E180" s="401">
        <v>37.990297600000012</v>
      </c>
      <c r="F180" s="401">
        <v>32.173234193417024</v>
      </c>
      <c r="G180" s="475"/>
      <c r="H180" s="475"/>
    </row>
    <row r="181" spans="1:19">
      <c r="A181" s="480">
        <v>4</v>
      </c>
      <c r="B181" s="402" t="s">
        <v>1205</v>
      </c>
      <c r="C181" s="29" t="s">
        <v>522</v>
      </c>
      <c r="D181" s="401">
        <v>5.7517872397326855</v>
      </c>
      <c r="E181" s="401">
        <v>5.7223739629771577</v>
      </c>
      <c r="F181" s="401">
        <v>0</v>
      </c>
      <c r="G181" s="475"/>
      <c r="H181" s="475"/>
    </row>
    <row r="182" spans="1:19">
      <c r="A182" s="480">
        <v>5</v>
      </c>
      <c r="B182" s="402" t="s">
        <v>1221</v>
      </c>
      <c r="C182" s="29" t="s">
        <v>522</v>
      </c>
      <c r="D182" s="401">
        <v>28.41453482</v>
      </c>
      <c r="E182" s="401">
        <v>28.342012974768604</v>
      </c>
      <c r="F182" s="401">
        <v>23.029651099999999</v>
      </c>
      <c r="G182" s="475"/>
      <c r="H182" s="475"/>
    </row>
    <row r="183" spans="1:19">
      <c r="A183" s="480">
        <v>6</v>
      </c>
      <c r="B183" s="402" t="s">
        <v>1222</v>
      </c>
      <c r="C183" s="29" t="s">
        <v>522</v>
      </c>
      <c r="D183" s="401">
        <v>2.7816029014078176</v>
      </c>
      <c r="E183" s="401">
        <v>2.2466297059474893</v>
      </c>
      <c r="F183" s="401">
        <v>2.6048438232752282</v>
      </c>
      <c r="G183" s="475"/>
      <c r="H183" s="475"/>
    </row>
    <row r="184" spans="1:19">
      <c r="A184" s="480">
        <v>7</v>
      </c>
      <c r="B184" s="402" t="s">
        <v>1223</v>
      </c>
      <c r="C184" s="29" t="s">
        <v>522</v>
      </c>
      <c r="D184" s="401">
        <v>0.5011021567837477</v>
      </c>
      <c r="E184" s="401">
        <v>0.61926663216897704</v>
      </c>
      <c r="F184" s="401">
        <v>0</v>
      </c>
      <c r="G184" s="475"/>
      <c r="H184" s="475"/>
    </row>
    <row r="185" spans="1:19">
      <c r="A185" s="480">
        <v>8</v>
      </c>
      <c r="B185" s="402" t="s">
        <v>1224</v>
      </c>
      <c r="C185" s="29" t="s">
        <v>522</v>
      </c>
      <c r="D185" s="401">
        <v>0.34420000000000006</v>
      </c>
      <c r="E185" s="401">
        <v>0.79845124944690471</v>
      </c>
      <c r="F185" s="401">
        <v>1.4198455814529869</v>
      </c>
      <c r="G185" s="475"/>
      <c r="H185" s="475"/>
    </row>
    <row r="186" spans="1:19">
      <c r="A186" s="480">
        <v>9</v>
      </c>
      <c r="B186" s="402" t="s">
        <v>1204</v>
      </c>
      <c r="C186" s="29" t="s">
        <v>522</v>
      </c>
      <c r="D186" s="401">
        <v>0.62262600000000001</v>
      </c>
      <c r="E186" s="401">
        <v>2.1177222325000002</v>
      </c>
      <c r="F186" s="401">
        <v>-4.4709953125129723E-2</v>
      </c>
      <c r="G186" s="475"/>
      <c r="H186" s="475"/>
    </row>
    <row r="187" spans="1:19">
      <c r="A187" s="480">
        <v>10</v>
      </c>
      <c r="B187" s="402" t="s">
        <v>553</v>
      </c>
      <c r="C187" s="29" t="s">
        <v>522</v>
      </c>
      <c r="D187" s="401">
        <v>0</v>
      </c>
      <c r="E187" s="401">
        <v>0</v>
      </c>
      <c r="F187" s="401">
        <v>0</v>
      </c>
      <c r="G187" s="475"/>
      <c r="H187" s="475"/>
    </row>
    <row r="188" spans="1:19">
      <c r="A188" s="480">
        <v>11</v>
      </c>
      <c r="B188" s="402" t="s">
        <v>553</v>
      </c>
      <c r="C188" s="29" t="s">
        <v>522</v>
      </c>
      <c r="D188" s="401">
        <v>0</v>
      </c>
      <c r="E188" s="401">
        <v>0</v>
      </c>
      <c r="F188" s="401">
        <v>0</v>
      </c>
      <c r="G188" s="475"/>
      <c r="H188" s="475"/>
    </row>
    <row r="189" spans="1:19">
      <c r="A189" s="480">
        <v>12</v>
      </c>
      <c r="B189" s="402" t="s">
        <v>553</v>
      </c>
      <c r="C189" s="29" t="s">
        <v>522</v>
      </c>
      <c r="D189" s="483">
        <v>0</v>
      </c>
      <c r="E189" s="475">
        <v>0</v>
      </c>
      <c r="F189" s="475">
        <v>0</v>
      </c>
      <c r="G189" s="475"/>
      <c r="H189" s="475"/>
    </row>
    <row r="190" spans="1:19">
      <c r="A190" s="480">
        <v>13</v>
      </c>
      <c r="B190" s="402" t="s">
        <v>553</v>
      </c>
      <c r="C190" s="29" t="s">
        <v>522</v>
      </c>
      <c r="D190" s="483">
        <v>0</v>
      </c>
      <c r="E190" s="475">
        <v>0</v>
      </c>
      <c r="F190" s="475">
        <v>0</v>
      </c>
      <c r="G190" s="475"/>
      <c r="H190" s="475"/>
    </row>
    <row r="191" spans="1:19">
      <c r="A191" s="480">
        <v>14</v>
      </c>
      <c r="B191" s="402" t="s">
        <v>553</v>
      </c>
      <c r="C191" s="29" t="s">
        <v>522</v>
      </c>
      <c r="D191" s="483">
        <v>0</v>
      </c>
      <c r="E191" s="475">
        <v>0</v>
      </c>
      <c r="F191" s="475">
        <v>0</v>
      </c>
      <c r="G191" s="475"/>
      <c r="H191" s="475"/>
      <c r="R191" s="114"/>
      <c r="S191" s="114"/>
    </row>
    <row r="192" spans="1:19">
      <c r="A192" s="480">
        <v>15</v>
      </c>
      <c r="B192" s="402" t="s">
        <v>553</v>
      </c>
      <c r="C192" s="29" t="s">
        <v>522</v>
      </c>
      <c r="D192" s="483">
        <v>0</v>
      </c>
      <c r="E192" s="475">
        <v>0</v>
      </c>
      <c r="F192" s="475">
        <v>0</v>
      </c>
      <c r="G192" s="475"/>
      <c r="H192" s="475"/>
      <c r="R192" s="114"/>
      <c r="S192" s="114"/>
    </row>
    <row r="193" spans="1:19">
      <c r="A193" s="480">
        <v>16</v>
      </c>
      <c r="B193" s="402" t="s">
        <v>553</v>
      </c>
      <c r="C193" s="29" t="s">
        <v>522</v>
      </c>
      <c r="D193" s="483">
        <v>0</v>
      </c>
      <c r="E193" s="475">
        <v>0</v>
      </c>
      <c r="F193" s="475">
        <v>0</v>
      </c>
      <c r="G193" s="475"/>
      <c r="H193" s="475"/>
      <c r="R193" s="114"/>
      <c r="S193" s="114"/>
    </row>
    <row r="194" spans="1:19">
      <c r="A194" s="480">
        <v>17</v>
      </c>
      <c r="B194" s="402" t="s">
        <v>553</v>
      </c>
      <c r="C194" s="29" t="s">
        <v>522</v>
      </c>
      <c r="D194" s="483">
        <v>0</v>
      </c>
      <c r="E194" s="475">
        <v>0</v>
      </c>
      <c r="F194" s="475">
        <v>0</v>
      </c>
      <c r="G194" s="475"/>
      <c r="H194" s="475"/>
      <c r="R194" s="114"/>
      <c r="S194" s="114"/>
    </row>
    <row r="195" spans="1:19">
      <c r="A195" s="480">
        <v>18</v>
      </c>
      <c r="B195" s="402" t="s">
        <v>553</v>
      </c>
      <c r="C195" s="29" t="s">
        <v>522</v>
      </c>
      <c r="D195" s="483">
        <v>0</v>
      </c>
      <c r="E195" s="475">
        <v>0</v>
      </c>
      <c r="F195" s="475">
        <v>0</v>
      </c>
      <c r="G195" s="475"/>
      <c r="H195" s="475"/>
      <c r="R195" s="114"/>
      <c r="S195" s="114"/>
    </row>
    <row r="196" spans="1:19">
      <c r="A196" s="480">
        <v>19</v>
      </c>
      <c r="B196" s="402" t="s">
        <v>553</v>
      </c>
      <c r="C196" s="29" t="s">
        <v>522</v>
      </c>
      <c r="D196" s="483">
        <v>0</v>
      </c>
      <c r="E196" s="475">
        <v>0</v>
      </c>
      <c r="F196" s="475">
        <v>0</v>
      </c>
      <c r="G196" s="475"/>
      <c r="H196" s="475"/>
      <c r="R196" s="114"/>
      <c r="S196" s="114"/>
    </row>
    <row r="197" spans="1:19">
      <c r="A197" s="480">
        <v>20</v>
      </c>
      <c r="B197" s="402" t="s">
        <v>553</v>
      </c>
      <c r="C197" s="29" t="s">
        <v>522</v>
      </c>
      <c r="D197" s="483">
        <v>0</v>
      </c>
      <c r="E197" s="475">
        <v>0</v>
      </c>
      <c r="F197" s="475">
        <v>0</v>
      </c>
      <c r="G197" s="475"/>
      <c r="H197" s="475"/>
      <c r="R197" s="114"/>
      <c r="S197" s="114"/>
    </row>
    <row r="198" spans="1:19">
      <c r="A198" s="480">
        <v>21</v>
      </c>
      <c r="B198" s="402" t="s">
        <v>553</v>
      </c>
      <c r="C198" s="29" t="s">
        <v>522</v>
      </c>
      <c r="D198" s="483">
        <v>0</v>
      </c>
      <c r="E198" s="475">
        <v>0</v>
      </c>
      <c r="F198" s="475">
        <v>0</v>
      </c>
      <c r="G198" s="475"/>
      <c r="H198" s="475"/>
      <c r="R198" s="114"/>
      <c r="S198" s="114"/>
    </row>
    <row r="199" spans="1:19">
      <c r="A199" s="480">
        <v>22</v>
      </c>
      <c r="B199" s="402" t="s">
        <v>553</v>
      </c>
      <c r="C199" s="29" t="s">
        <v>522</v>
      </c>
      <c r="D199" s="483">
        <v>0</v>
      </c>
      <c r="E199" s="475">
        <v>0</v>
      </c>
      <c r="F199" s="475">
        <v>0</v>
      </c>
      <c r="G199" s="475"/>
      <c r="H199" s="475"/>
      <c r="R199" s="114"/>
      <c r="S199" s="114"/>
    </row>
    <row r="200" spans="1:19">
      <c r="A200" s="480">
        <v>23</v>
      </c>
      <c r="B200" s="402" t="s">
        <v>553</v>
      </c>
      <c r="C200" s="29" t="s">
        <v>522</v>
      </c>
      <c r="D200" s="483">
        <v>0</v>
      </c>
      <c r="E200" s="475">
        <v>0</v>
      </c>
      <c r="F200" s="475">
        <v>0</v>
      </c>
      <c r="G200" s="475"/>
      <c r="H200" s="475"/>
      <c r="R200" s="114"/>
      <c r="S200" s="114"/>
    </row>
    <row r="201" spans="1:19">
      <c r="A201" s="480">
        <v>24</v>
      </c>
      <c r="B201" s="402" t="s">
        <v>553</v>
      </c>
      <c r="C201" s="29" t="s">
        <v>522</v>
      </c>
      <c r="D201" s="483">
        <v>0</v>
      </c>
      <c r="E201" s="475">
        <v>0</v>
      </c>
      <c r="F201" s="475">
        <v>0</v>
      </c>
      <c r="G201" s="475"/>
      <c r="H201" s="475"/>
      <c r="R201" s="428"/>
      <c r="S201" s="114"/>
    </row>
    <row r="202" spans="1:19">
      <c r="A202" s="480">
        <v>25</v>
      </c>
      <c r="B202" s="402" t="s">
        <v>553</v>
      </c>
      <c r="C202" s="29" t="s">
        <v>522</v>
      </c>
      <c r="D202" s="483">
        <v>0</v>
      </c>
      <c r="E202" s="475">
        <v>0</v>
      </c>
      <c r="F202" s="475">
        <v>0</v>
      </c>
      <c r="G202" s="475"/>
      <c r="H202" s="475"/>
      <c r="R202" s="114"/>
      <c r="S202" s="114"/>
    </row>
    <row r="203" spans="1:19">
      <c r="B203" s="482" t="s">
        <v>635</v>
      </c>
      <c r="C203" s="29" t="s">
        <v>522</v>
      </c>
      <c r="D203" s="496">
        <f>SUM(D178:D202)</f>
        <v>91.497059688589957</v>
      </c>
      <c r="E203" s="496">
        <f t="shared" ref="E203:H203" si="62">SUM(E178:E202)</f>
        <v>94.190313491142831</v>
      </c>
      <c r="F203" s="496">
        <f t="shared" si="62"/>
        <v>68.12345008475441</v>
      </c>
      <c r="G203" s="496">
        <f t="shared" si="62"/>
        <v>0</v>
      </c>
      <c r="H203" s="496">
        <f t="shared" si="62"/>
        <v>0</v>
      </c>
      <c r="R203" s="114"/>
      <c r="S203" s="114"/>
    </row>
    <row r="204" spans="1:19">
      <c r="B204" s="339"/>
      <c r="D204" s="29"/>
      <c r="E204" s="29"/>
      <c r="F204" s="29"/>
      <c r="G204" s="29"/>
      <c r="H204" s="29"/>
      <c r="I204" s="29"/>
      <c r="J204" s="29"/>
      <c r="R204" s="114"/>
      <c r="S204" s="114"/>
    </row>
    <row r="205" spans="1:19">
      <c r="B205" s="482" t="s">
        <v>636</v>
      </c>
      <c r="C205" s="29" t="s">
        <v>522</v>
      </c>
      <c r="D205" s="496">
        <f>D171-D203</f>
        <v>172.76183696580563</v>
      </c>
      <c r="E205" s="496">
        <f t="shared" ref="E205:H205" si="63">E171-E203</f>
        <v>201.3370483559973</v>
      </c>
      <c r="F205" s="496">
        <f t="shared" si="63"/>
        <v>223.19399725602952</v>
      </c>
      <c r="G205" s="496">
        <f t="shared" si="63"/>
        <v>0</v>
      </c>
      <c r="H205" s="496">
        <f t="shared" si="63"/>
        <v>0</v>
      </c>
    </row>
    <row r="206" spans="1:19">
      <c r="B206" s="482" t="s">
        <v>637</v>
      </c>
      <c r="C206" s="29" t="s">
        <v>522</v>
      </c>
      <c r="D206" s="520">
        <f>('R3 - Totex - Reconciliation'!D$13+'R3 - Totex - Reconciliation'!D$47+'R3 - Totex - Reconciliation'!D76)*INDEX(real_to_nominal_CF,MATCH(D$109,calendar_year,0))</f>
        <v>172.76183696580563</v>
      </c>
      <c r="E206" s="520">
        <f>('R3 - Totex - Reconciliation'!E$13+'R3 - Totex - Reconciliation'!E$47+'R3 - Totex - Reconciliation'!E76)*INDEX(real_to_nominal_CF,MATCH(E$109,calendar_year,0))</f>
        <v>201.32705406248471</v>
      </c>
      <c r="F206" s="520">
        <f>('R3 - Totex - Reconciliation'!F$13+'R3 - Totex - Reconciliation'!F$47+'R3 - Totex - Reconciliation'!F76)*INDEX(real_to_nominal_CF,MATCH(F$109,calendar_year,0))</f>
        <v>223.24169203741127</v>
      </c>
      <c r="G206" s="520">
        <f>('R3 - Totex - Reconciliation'!G$13+'R3 - Totex - Reconciliation'!G$47+'R3 - Totex - Reconciliation'!G76)*INDEX(real_to_nominal_CF,MATCH(G$109,calendar_year,0))</f>
        <v>237.99494249135438</v>
      </c>
      <c r="H206" s="521">
        <f>('R3 - Totex - Reconciliation'!H$13+'R3 - Totex - Reconciliation'!H$47+'R3 - Totex - Reconciliation'!H76)*INDEX(real_to_nominal_CF,MATCH(H$109,calendar_year,0))</f>
        <v>227.67729906440712</v>
      </c>
      <c r="I206" s="339" t="s">
        <v>638</v>
      </c>
    </row>
    <row r="207" spans="1:19">
      <c r="B207" s="339"/>
      <c r="C207" s="29" t="s">
        <v>632</v>
      </c>
      <c r="D207" s="522" t="str">
        <f>IF(D$108="Actuals",IF(ABS(D205-('R3 - Totex - Reconciliation'!D13+'R3 - Totex - Reconciliation'!D47+D76)*INDEX(real_to_nominal_CF,MATCH(D6,Data!$F$33:$L$33,0)))&lt;materiality_threshold,"OK","Error"),"N/A")</f>
        <v>OK</v>
      </c>
      <c r="E207" s="522" t="str">
        <f>IF(E$108="Actuals",IF(ABS(E205-('R3 - Totex - Reconciliation'!E13+'R3 - Totex - Reconciliation'!E47+E76)*INDEX(real_to_nominal_CF,MATCH(E6,Data!$F$33:$L$33,0)))&lt;materiality_threshold,"OK","Error"),"N/A")</f>
        <v>OK</v>
      </c>
      <c r="F207" s="522" t="str">
        <f>IF(F$108="Actuals",IF(ABS(F205-('R3 - Totex - Reconciliation'!F13+'R3 - Totex - Reconciliation'!F47+F76)*INDEX(real_to_nominal_CF,MATCH(F6,Data!$F$33:$L$33,0)))&lt;materiality_threshold,"OK","Error"),"N/A")</f>
        <v>OK</v>
      </c>
      <c r="G207" s="522" t="str">
        <f>IF(G$108="Actuals",IF(ABS(G205-('R3 - Totex - Reconciliation'!G13+'R3 - Totex - Reconciliation'!G47+G76)*INDEX(real_to_nominal_CF,MATCH(G6,Data!$F$33:$L$33,0)))&lt;materiality_threshold,"OK","Error"),"N/A")</f>
        <v>N/A</v>
      </c>
      <c r="H207" s="522" t="str">
        <f>IF(H$108="Actuals",IF(ABS(H205-('R3 - Totex - Reconciliation'!H13+'R3 - Totex - Reconciliation'!H47+H76)*INDEX(real_to_nominal_CF,MATCH(H6,Data!$F$33:$L$33,0)))&lt;materiality_threshold,"OK","Error"),"N/A")</f>
        <v>N/A</v>
      </c>
      <c r="I207" s="339" t="s">
        <v>639</v>
      </c>
    </row>
    <row r="208" spans="1:19">
      <c r="B208" s="339"/>
      <c r="C208" s="339"/>
    </row>
    <row r="209" spans="2:19">
      <c r="B209" s="428" t="s">
        <v>640</v>
      </c>
    </row>
    <row r="211" spans="2:19">
      <c r="B211" s="429" t="s">
        <v>587</v>
      </c>
      <c r="C211" s="114"/>
      <c r="D211" s="114"/>
      <c r="E211" s="114"/>
      <c r="F211" s="114"/>
    </row>
    <row r="212" spans="2:19">
      <c r="B212" s="1347"/>
      <c r="C212" s="1348"/>
      <c r="D212" s="1348"/>
      <c r="E212" s="1348"/>
      <c r="F212" s="1349"/>
    </row>
    <row r="213" spans="2:19">
      <c r="B213" s="432"/>
      <c r="C213" s="433"/>
      <c r="D213" s="434"/>
      <c r="E213" s="435"/>
      <c r="F213" s="436"/>
    </row>
    <row r="214" spans="2:19">
      <c r="B214" s="432"/>
      <c r="C214" s="433"/>
      <c r="D214" s="434"/>
      <c r="E214" s="435"/>
      <c r="F214" s="436"/>
    </row>
    <row r="215" spans="2:19">
      <c r="B215" s="432"/>
      <c r="C215" s="433"/>
      <c r="D215" s="434"/>
      <c r="E215" s="435"/>
      <c r="F215" s="436"/>
    </row>
    <row r="216" spans="2:19">
      <c r="B216" s="432"/>
      <c r="C216" s="433"/>
      <c r="D216" s="434"/>
      <c r="E216" s="435"/>
      <c r="F216" s="436"/>
      <c r="R216" s="114"/>
      <c r="S216" s="114"/>
    </row>
    <row r="217" spans="2:19">
      <c r="B217" s="437"/>
      <c r="C217" s="438"/>
      <c r="D217" s="439"/>
      <c r="E217" s="440"/>
      <c r="F217" s="441"/>
    </row>
    <row r="234" s="339" customFormat="1"/>
    <row r="235" s="339" customFormat="1"/>
    <row r="236" s="339" customFormat="1"/>
    <row r="237" s="339" customFormat="1"/>
    <row r="238" s="339" customFormat="1"/>
    <row r="239" s="339" customFormat="1"/>
    <row r="240" s="339" customFormat="1"/>
    <row r="241" spans="2:3">
      <c r="B241" s="339"/>
      <c r="C241" s="339"/>
    </row>
    <row r="245" spans="2:3" ht="12.75" customHeight="1"/>
    <row r="252" spans="2:3" ht="29.25" customHeight="1"/>
  </sheetData>
  <sheetProtection insertRows="0"/>
  <mergeCells count="2">
    <mergeCell ref="K15:M15"/>
    <mergeCell ref="B212:F212"/>
  </mergeCells>
  <phoneticPr fontId="260" type="noConversion"/>
  <conditionalFormatting sqref="B40">
    <cfRule type="expression" dxfId="113" priority="59">
      <formula>$B$51="n/a"</formula>
    </cfRule>
  </conditionalFormatting>
  <conditionalFormatting sqref="B69">
    <cfRule type="expression" dxfId="112" priority="58">
      <formula>$B$51="n/a"</formula>
    </cfRule>
  </conditionalFormatting>
  <conditionalFormatting sqref="B93">
    <cfRule type="expression" dxfId="111" priority="57">
      <formula>$B$51="n/a"</formula>
    </cfRule>
  </conditionalFormatting>
  <conditionalFormatting sqref="C23:C30">
    <cfRule type="expression" dxfId="110" priority="63">
      <formula>$B$45="n/a"</formula>
    </cfRule>
  </conditionalFormatting>
  <conditionalFormatting sqref="C33:C35">
    <cfRule type="expression" dxfId="109" priority="16">
      <formula>$B$45="n/a"</formula>
    </cfRule>
  </conditionalFormatting>
  <conditionalFormatting sqref="C37:C38">
    <cfRule type="expression" dxfId="108" priority="13">
      <formula>$B$45="n/a"</formula>
    </cfRule>
  </conditionalFormatting>
  <conditionalFormatting sqref="C45 B46:C54 B73:C73 Q73:T73 C74 B75:C84 B97:C97">
    <cfRule type="expression" dxfId="107" priority="80">
      <formula>$B$45="n/a"</formula>
    </cfRule>
  </conditionalFormatting>
  <conditionalFormatting sqref="C57:C59">
    <cfRule type="expression" dxfId="106" priority="62">
      <formula>$B$45="n/a"</formula>
    </cfRule>
  </conditionalFormatting>
  <conditionalFormatting sqref="C62:C64">
    <cfRule type="expression" dxfId="105" priority="14">
      <formula>$B$45="n/a"</formula>
    </cfRule>
  </conditionalFormatting>
  <conditionalFormatting sqref="C66:C67">
    <cfRule type="expression" dxfId="104" priority="12">
      <formula>$B$45="n/a"</formula>
    </cfRule>
  </conditionalFormatting>
  <conditionalFormatting sqref="C86:C88">
    <cfRule type="expression" dxfId="103" priority="60">
      <formula>$B$45="n/a"</formula>
    </cfRule>
  </conditionalFormatting>
  <conditionalFormatting sqref="C90:C91">
    <cfRule type="expression" dxfId="102" priority="19">
      <formula>$B$44="n/a"</formula>
    </cfRule>
  </conditionalFormatting>
  <conditionalFormatting sqref="D5:G6">
    <cfRule type="expression" dxfId="101" priority="84">
      <formula>AND(D$5="Actuals",E$5="Forecast")</formula>
    </cfRule>
  </conditionalFormatting>
  <conditionalFormatting sqref="D108:G109">
    <cfRule type="expression" dxfId="100" priority="76">
      <formula>AND(D$5="Actuals",E$5="N/A")</formula>
    </cfRule>
  </conditionalFormatting>
  <conditionalFormatting sqref="D7:H7">
    <cfRule type="expression" dxfId="99" priority="69">
      <formula>AND(D$5="Actuals",E$5="Forecast")</formula>
    </cfRule>
  </conditionalFormatting>
  <conditionalFormatting sqref="D110:H110">
    <cfRule type="expression" dxfId="98" priority="68">
      <formula>AND(D$5="Actuals",E$5="Forecast")</formula>
    </cfRule>
  </conditionalFormatting>
  <conditionalFormatting sqref="D113:H121 D124:H124">
    <cfRule type="expression" dxfId="97" priority="66">
      <formula>D$108="N/A"</formula>
    </cfRule>
  </conditionalFormatting>
  <conditionalFormatting sqref="D126:H129">
    <cfRule type="expression" dxfId="96" priority="6">
      <formula>D$108="N/A"</formula>
    </cfRule>
  </conditionalFormatting>
  <conditionalFormatting sqref="D131:H131">
    <cfRule type="expression" dxfId="95" priority="38">
      <formula>D$108="N/A"</formula>
    </cfRule>
  </conditionalFormatting>
  <conditionalFormatting sqref="D135:H135">
    <cfRule type="expression" dxfId="94" priority="5">
      <formula>D$108="N/A"</formula>
    </cfRule>
  </conditionalFormatting>
  <conditionalFormatting sqref="D137:H157">
    <cfRule type="expression" dxfId="93" priority="4">
      <formula>D$108="N/A"</formula>
    </cfRule>
  </conditionalFormatting>
  <conditionalFormatting sqref="D159:H169">
    <cfRule type="expression" dxfId="92" priority="1">
      <formula>D$108="N/A"</formula>
    </cfRule>
  </conditionalFormatting>
  <conditionalFormatting sqref="D171:H173">
    <cfRule type="expression" dxfId="91" priority="29">
      <formula>D$108="N/A"</formula>
    </cfRule>
  </conditionalFormatting>
  <conditionalFormatting sqref="D176:H203">
    <cfRule type="expression" dxfId="90" priority="7">
      <formula>D$108="N/A"</formula>
    </cfRule>
  </conditionalFormatting>
  <conditionalFormatting sqref="F122:H122">
    <cfRule type="expression" dxfId="89" priority="56">
      <formula>F$108="N/A"</formula>
    </cfRule>
  </conditionalFormatting>
  <conditionalFormatting sqref="H5:H6">
    <cfRule type="expression" dxfId="88" priority="285">
      <formula>AND(H$5="Actuals",#REF!="Forecast")</formula>
    </cfRule>
  </conditionalFormatting>
  <conditionalFormatting sqref="H108:H109">
    <cfRule type="expression" dxfId="87" priority="302">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B4" sqref="B4"/>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Cadent-WM</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338.22412567075247</v>
      </c>
      <c r="F13" s="397">
        <v>448.45365262140854</v>
      </c>
      <c r="G13" s="397">
        <v>431.04347910763715</v>
      </c>
      <c r="H13" s="397"/>
      <c r="I13" s="397"/>
      <c r="N13" s="341"/>
    </row>
    <row r="14" spans="1:14" s="339" customFormat="1">
      <c r="B14" s="1216" t="s">
        <v>523</v>
      </c>
      <c r="C14" s="114" t="str">
        <f>IF(Licensee="NGGT (SO)","SOADJt*","ADJt*")</f>
        <v>ADJt*</v>
      </c>
      <c r="D14" s="28" t="s">
        <v>522</v>
      </c>
      <c r="E14" s="397">
        <v>0</v>
      </c>
      <c r="F14" s="397">
        <v>28.504327292470691</v>
      </c>
      <c r="G14" s="397">
        <v>-16.553997362162811</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338.22412567075247</v>
      </c>
      <c r="F15" s="443">
        <f t="shared" ref="F15:G15" si="2">SUM(F13:F14)</f>
        <v>476.95797991387923</v>
      </c>
      <c r="G15" s="443">
        <f t="shared" si="2"/>
        <v>414.48948174547434</v>
      </c>
      <c r="H15" s="443">
        <f t="shared" ref="H15:I15" si="3">SUM(H13:H14)</f>
        <v>0</v>
      </c>
      <c r="I15" s="443">
        <f t="shared" si="3"/>
        <v>0</v>
      </c>
    </row>
    <row r="16" spans="1:14" s="339" customFormat="1">
      <c r="B16" s="88" t="s">
        <v>524</v>
      </c>
      <c r="C16" s="114" t="str">
        <f>IF(OR(Licensee="ESO",Licensee="NGGT (SO)"),"SOLARt","LARt")</f>
        <v>LARt</v>
      </c>
      <c r="D16" s="28" t="s">
        <v>522</v>
      </c>
      <c r="E16" s="397">
        <v>7.3160791768581479E-2</v>
      </c>
      <c r="F16" s="397">
        <v>6.1143404767472456</v>
      </c>
      <c r="G16" s="397">
        <v>-0.9032828784874567</v>
      </c>
      <c r="H16" s="397"/>
      <c r="I16" s="397"/>
    </row>
    <row r="17" spans="2:9" s="339" customFormat="1">
      <c r="B17" s="88" t="s">
        <v>525</v>
      </c>
      <c r="C17" s="114" t="str">
        <f>IF(Licensee="NGGT (SO)","SOKt","Kt")</f>
        <v>Kt</v>
      </c>
      <c r="D17" s="28" t="s">
        <v>522</v>
      </c>
      <c r="E17" s="397">
        <v>0.72214414141742922</v>
      </c>
      <c r="F17" s="397">
        <v>2.2814457863117146</v>
      </c>
      <c r="G17" s="397">
        <v>2.4927306469394135</v>
      </c>
      <c r="H17" s="397"/>
      <c r="I17" s="397"/>
    </row>
    <row r="18" spans="2:9" s="339" customFormat="1">
      <c r="B18" s="88" t="s">
        <v>526</v>
      </c>
      <c r="C18" s="114" t="s">
        <v>527</v>
      </c>
      <c r="D18" s="28" t="s">
        <v>522</v>
      </c>
      <c r="E18" s="1215">
        <v>0</v>
      </c>
      <c r="F18" s="1215">
        <v>0</v>
      </c>
      <c r="G18" s="1215">
        <v>0</v>
      </c>
      <c r="H18" s="1215"/>
      <c r="I18" s="1215"/>
    </row>
    <row r="19" spans="2:9" s="339" customFormat="1">
      <c r="B19" s="86" t="s">
        <v>528</v>
      </c>
      <c r="C19" s="86" t="str">
        <f>IF(Licensee="ESO","SOIARt",IF(Licensee="NGGT (SO)","SOARt","ARt"))</f>
        <v>ARt</v>
      </c>
      <c r="D19" s="29" t="s">
        <v>522</v>
      </c>
      <c r="E19" s="442">
        <f>SUM(E15:E18)</f>
        <v>339.01943060393847</v>
      </c>
      <c r="F19" s="442">
        <f t="shared" ref="F19:G19" si="4">SUM(F15:F18)</f>
        <v>485.35376617693822</v>
      </c>
      <c r="G19" s="442">
        <f t="shared" si="4"/>
        <v>416.07892951392631</v>
      </c>
      <c r="H19" s="442">
        <f t="shared" ref="H19:I19" si="5">SUM(H15:H18)</f>
        <v>0</v>
      </c>
      <c r="I19" s="442">
        <f t="shared" si="5"/>
        <v>0</v>
      </c>
    </row>
    <row r="20" spans="2:9" s="339" customFormat="1">
      <c r="B20" s="389"/>
      <c r="C20" s="389"/>
      <c r="D20" s="29"/>
      <c r="E20" s="398"/>
      <c r="F20" s="398"/>
      <c r="G20" s="398"/>
      <c r="H20" s="399"/>
      <c r="I20" s="399"/>
    </row>
    <row r="21" spans="2:9" s="339" customFormat="1">
      <c r="B21" s="389" t="s">
        <v>529</v>
      </c>
      <c r="C21" s="396"/>
      <c r="D21" s="29" t="s">
        <v>522</v>
      </c>
      <c r="E21" s="442">
        <f>IF(ISBLANK(E25),0,E25-E19)</f>
        <v>-2.2516830528326182</v>
      </c>
      <c r="F21" s="442">
        <f t="shared" ref="F21:G21" si="6">IF(ISBLANK(F25),0,F25-F19)</f>
        <v>-2.410459159721313</v>
      </c>
      <c r="G21" s="442">
        <f t="shared" si="6"/>
        <v>2.5162034798330524</v>
      </c>
      <c r="H21" s="442">
        <f t="shared" ref="H21:I21" si="7">IF(ISBLANK(H25),0,H25-H19)</f>
        <v>0</v>
      </c>
      <c r="I21" s="442">
        <f t="shared" si="7"/>
        <v>0</v>
      </c>
    </row>
    <row r="22" spans="2:9" s="339" customFormat="1">
      <c r="B22" s="389"/>
      <c r="C22" s="389"/>
      <c r="D22" s="29"/>
    </row>
    <row r="23" spans="2:9" s="339" customFormat="1">
      <c r="B23" s="389"/>
      <c r="C23" s="389"/>
      <c r="D23" s="29"/>
    </row>
    <row r="24" spans="2:9" s="339" customFormat="1">
      <c r="B24" s="389"/>
      <c r="C24" s="389"/>
      <c r="D24" s="29"/>
    </row>
    <row r="25" spans="2:9" s="339" customFormat="1">
      <c r="B25" s="396" t="s">
        <v>530</v>
      </c>
      <c r="C25" s="396" t="s">
        <v>531</v>
      </c>
      <c r="D25" s="29" t="s">
        <v>522</v>
      </c>
      <c r="E25" s="397">
        <v>336.76774755110586</v>
      </c>
      <c r="F25" s="397">
        <v>482.94330701721691</v>
      </c>
      <c r="G25" s="397">
        <v>418.59513299375936</v>
      </c>
      <c r="H25" s="397"/>
      <c r="I25" s="397"/>
    </row>
    <row r="26" spans="2:9" s="339" customFormat="1">
      <c r="B26" s="389"/>
      <c r="C26" s="389"/>
      <c r="D26" s="29"/>
    </row>
    <row r="27" spans="2:9" s="339" customFormat="1">
      <c r="B27" s="396" t="s">
        <v>532</v>
      </c>
      <c r="D27" s="396"/>
      <c r="E27" s="404"/>
    </row>
    <row r="28" spans="2:9" s="339" customFormat="1">
      <c r="B28" s="400" t="s">
        <v>533</v>
      </c>
      <c r="C28" s="400"/>
      <c r="D28" s="29" t="s">
        <v>522</v>
      </c>
      <c r="E28" s="401">
        <v>0</v>
      </c>
      <c r="F28" s="401">
        <v>0</v>
      </c>
      <c r="G28" s="401">
        <v>0</v>
      </c>
      <c r="H28" s="401"/>
      <c r="I28" s="401"/>
    </row>
    <row r="29" spans="2:9" s="339" customFormat="1">
      <c r="B29" s="400" t="s">
        <v>534</v>
      </c>
      <c r="C29" s="400"/>
      <c r="D29" s="29" t="s">
        <v>522</v>
      </c>
      <c r="E29" s="401">
        <v>0</v>
      </c>
      <c r="F29" s="401">
        <v>0</v>
      </c>
      <c r="G29" s="401">
        <v>0</v>
      </c>
      <c r="H29" s="401"/>
      <c r="I29" s="401"/>
    </row>
    <row r="30" spans="2:9" s="339" customFormat="1">
      <c r="B30" s="400" t="s">
        <v>535</v>
      </c>
      <c r="C30" s="400"/>
      <c r="D30" s="29" t="s">
        <v>522</v>
      </c>
      <c r="E30" s="401">
        <v>0</v>
      </c>
      <c r="F30" s="401">
        <v>0</v>
      </c>
      <c r="G30" s="401">
        <v>0</v>
      </c>
      <c r="H30" s="401"/>
      <c r="I30" s="401"/>
    </row>
    <row r="31" spans="2:9" s="339" customFormat="1">
      <c r="B31" s="400" t="s">
        <v>536</v>
      </c>
      <c r="C31" s="400"/>
      <c r="D31" s="29" t="s">
        <v>522</v>
      </c>
      <c r="E31" s="401">
        <v>0</v>
      </c>
      <c r="F31" s="401">
        <v>0</v>
      </c>
      <c r="G31" s="401">
        <v>0</v>
      </c>
      <c r="H31" s="401"/>
      <c r="I31" s="401"/>
    </row>
    <row r="32" spans="2:9" s="339" customFormat="1">
      <c r="B32" s="400" t="s">
        <v>537</v>
      </c>
      <c r="C32" s="400"/>
      <c r="D32" s="29" t="s">
        <v>522</v>
      </c>
      <c r="E32" s="401">
        <v>0</v>
      </c>
      <c r="F32" s="401">
        <v>0</v>
      </c>
      <c r="G32" s="401">
        <v>0</v>
      </c>
      <c r="H32" s="401"/>
      <c r="I32" s="401"/>
    </row>
    <row r="33" spans="2:9" s="339" customFormat="1">
      <c r="B33" s="400" t="s">
        <v>538</v>
      </c>
      <c r="C33" s="400"/>
      <c r="D33" s="29" t="s">
        <v>522</v>
      </c>
      <c r="E33" s="401">
        <v>0.2987976664967768</v>
      </c>
      <c r="F33" s="401">
        <v>0.29711737811376954</v>
      </c>
      <c r="G33" s="401">
        <v>0.2470100736675836</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-0.92419166999999569</v>
      </c>
      <c r="F36" s="401">
        <v>0.16965615000002085</v>
      </c>
      <c r="G36" s="401">
        <v>-0.19049874999999256</v>
      </c>
      <c r="H36" s="401"/>
      <c r="I36" s="401"/>
    </row>
    <row r="37" spans="2:9" s="339" customFormat="1">
      <c r="B37" s="396" t="s">
        <v>542</v>
      </c>
      <c r="C37" s="396"/>
      <c r="D37" s="29" t="s">
        <v>522</v>
      </c>
      <c r="E37" s="442">
        <f>SUM(E28:E36)</f>
        <v>-0.62539400350321883</v>
      </c>
      <c r="F37" s="442">
        <f t="shared" ref="F37:I37" si="8">SUM(F28:F36)</f>
        <v>0.46677352811379036</v>
      </c>
      <c r="G37" s="442">
        <f t="shared" si="8"/>
        <v>5.651132366759104E-2</v>
      </c>
      <c r="H37" s="442">
        <f t="shared" si="8"/>
        <v>0</v>
      </c>
      <c r="I37" s="442">
        <f t="shared" si="8"/>
        <v>0</v>
      </c>
    </row>
    <row r="38" spans="2:9" s="339" customFormat="1">
      <c r="B38" s="389"/>
      <c r="C38" s="389"/>
      <c r="D38" s="29"/>
    </row>
    <row r="39" spans="2:9" s="339" customFormat="1">
      <c r="B39" s="396" t="s">
        <v>543</v>
      </c>
      <c r="D39" s="396"/>
      <c r="E39" s="404"/>
    </row>
    <row r="40" spans="2:9" s="339" customFormat="1">
      <c r="B40" s="402" t="s">
        <v>544</v>
      </c>
      <c r="C40" s="402"/>
      <c r="D40" s="29" t="s">
        <v>522</v>
      </c>
      <c r="E40" s="401">
        <v>3.3958520039339</v>
      </c>
      <c r="F40" s="401">
        <v>2.6303692793992428</v>
      </c>
      <c r="G40" s="401">
        <v>2.4528180536307351</v>
      </c>
      <c r="H40" s="401"/>
      <c r="I40" s="401"/>
    </row>
    <row r="41" spans="2:9" s="339" customFormat="1">
      <c r="B41" s="402" t="s">
        <v>545</v>
      </c>
      <c r="C41" s="402"/>
      <c r="D41" s="29" t="s">
        <v>522</v>
      </c>
      <c r="E41" s="401">
        <v>0.40327921</v>
      </c>
      <c r="F41" s="401">
        <v>0.34590093999999999</v>
      </c>
      <c r="G41" s="401">
        <v>0.33421772</v>
      </c>
      <c r="H41" s="401"/>
      <c r="I41" s="401"/>
    </row>
    <row r="42" spans="2:9" s="339" customFormat="1">
      <c r="B42" s="402" t="s">
        <v>546</v>
      </c>
      <c r="C42" s="402"/>
      <c r="D42" s="29" t="s">
        <v>522</v>
      </c>
      <c r="E42" s="401">
        <v>0.75074883416179894</v>
      </c>
      <c r="F42" s="401">
        <v>0.90737068191594328</v>
      </c>
      <c r="G42" s="401">
        <v>1.2461898893770627</v>
      </c>
      <c r="H42" s="401"/>
      <c r="I42" s="401"/>
    </row>
    <row r="43" spans="2:9" s="339" customFormat="1">
      <c r="B43" s="402" t="s">
        <v>547</v>
      </c>
      <c r="C43" s="402"/>
      <c r="D43" s="29" t="s">
        <v>522</v>
      </c>
      <c r="E43" s="401">
        <v>20.332209410000001</v>
      </c>
      <c r="F43" s="401">
        <v>19.043176446930893</v>
      </c>
      <c r="G43" s="401">
        <v>16.537459451326846</v>
      </c>
      <c r="H43" s="401"/>
      <c r="I43" s="401"/>
    </row>
    <row r="44" spans="2:9" s="339" customFormat="1">
      <c r="B44" s="402" t="s">
        <v>548</v>
      </c>
      <c r="C44" s="402"/>
      <c r="D44" s="29" t="s">
        <v>522</v>
      </c>
      <c r="E44" s="401">
        <v>0.34366117730263485</v>
      </c>
      <c r="F44" s="401">
        <v>0.19662045</v>
      </c>
      <c r="G44" s="401">
        <v>0.12381650999999999</v>
      </c>
      <c r="H44" s="401"/>
      <c r="I44" s="401"/>
    </row>
    <row r="45" spans="2:9" s="339" customFormat="1">
      <c r="B45" s="402" t="s">
        <v>549</v>
      </c>
      <c r="C45" s="402"/>
      <c r="D45" s="29" t="s">
        <v>522</v>
      </c>
      <c r="E45" s="401">
        <v>1.5101835299999999</v>
      </c>
      <c r="F45" s="401">
        <v>0</v>
      </c>
      <c r="G45" s="401">
        <v>-0.44751587729999998</v>
      </c>
      <c r="H45" s="401"/>
      <c r="I45" s="401"/>
    </row>
    <row r="46" spans="2:9" s="339" customFormat="1">
      <c r="B46" s="402" t="s">
        <v>550</v>
      </c>
      <c r="C46" s="402"/>
      <c r="D46" s="29" t="s">
        <v>522</v>
      </c>
      <c r="E46" s="401">
        <v>-0.68291551027800002</v>
      </c>
      <c r="F46" s="401">
        <v>-74.435071380499721</v>
      </c>
      <c r="G46" s="401">
        <v>-24.822195983270614</v>
      </c>
      <c r="H46" s="401"/>
      <c r="I46" s="401"/>
    </row>
    <row r="47" spans="2:9" s="339" customFormat="1">
      <c r="B47" s="402" t="s">
        <v>551</v>
      </c>
      <c r="C47" s="402"/>
      <c r="D47" s="29" t="s">
        <v>522</v>
      </c>
      <c r="E47" s="401">
        <v>4.8312913018654945E-2</v>
      </c>
      <c r="F47" s="401">
        <v>2.9367087746375038E-2</v>
      </c>
      <c r="G47" s="401">
        <v>4.4871813517715006E-2</v>
      </c>
      <c r="H47" s="401"/>
      <c r="I47" s="401"/>
    </row>
    <row r="48" spans="2:9" s="339" customFormat="1">
      <c r="B48" s="402" t="s">
        <v>552</v>
      </c>
      <c r="C48" s="402"/>
      <c r="D48" s="29" t="s">
        <v>522</v>
      </c>
      <c r="E48" s="401">
        <v>1621.408303192459</v>
      </c>
      <c r="F48" s="401">
        <v>1907.8518280266758</v>
      </c>
      <c r="G48" s="401">
        <v>1863.0539809952902</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9">SUM(E40:E55)</f>
        <v>1647.8574069923973</v>
      </c>
      <c r="F56" s="442">
        <f t="shared" si="9"/>
        <v>1856.5899194546691</v>
      </c>
      <c r="G56" s="442">
        <f t="shared" si="9"/>
        <v>1858.3286425725721</v>
      </c>
      <c r="H56" s="442">
        <f t="shared" si="9"/>
        <v>0</v>
      </c>
      <c r="I56" s="442">
        <f t="shared" si="9"/>
        <v>0</v>
      </c>
    </row>
    <row r="57" spans="2:10" s="339" customFormat="1">
      <c r="B57" s="389"/>
      <c r="C57" s="389"/>
      <c r="D57" s="29"/>
      <c r="E57" s="405"/>
      <c r="F57" s="405"/>
      <c r="G57" s="405"/>
      <c r="H57" s="405"/>
      <c r="I57" s="405"/>
    </row>
    <row r="58" spans="2:10" s="339" customFormat="1">
      <c r="B58" s="406" t="s">
        <v>555</v>
      </c>
      <c r="C58" s="406"/>
      <c r="D58" s="29" t="s">
        <v>522</v>
      </c>
      <c r="E58" s="442">
        <f>E25+E37+E56</f>
        <v>1983.9997605399999</v>
      </c>
      <c r="F58" s="442">
        <f t="shared" ref="F58:I58" si="10">F25+F37+F56</f>
        <v>2340</v>
      </c>
      <c r="G58" s="442">
        <f t="shared" si="10"/>
        <v>2276.9802868899992</v>
      </c>
      <c r="H58" s="442">
        <f t="shared" si="10"/>
        <v>0</v>
      </c>
      <c r="I58" s="442">
        <f t="shared" si="10"/>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1">E59</f>
        <v>1984</v>
      </c>
      <c r="F68" s="445">
        <f t="shared" si="11"/>
        <v>2340</v>
      </c>
      <c r="G68" s="445">
        <f t="shared" si="11"/>
        <v>2276.9805964899997</v>
      </c>
      <c r="H68" s="445">
        <f t="shared" si="11"/>
        <v>0</v>
      </c>
      <c r="I68" s="445">
        <f t="shared" si="11"/>
        <v>0</v>
      </c>
      <c r="J68" s="114"/>
      <c r="K68" s="114"/>
      <c r="L68" s="114"/>
      <c r="M68" s="114"/>
      <c r="N68" s="114"/>
    </row>
    <row r="69" spans="1:14" s="339" customFormat="1">
      <c r="A69" s="114"/>
      <c r="B69" s="339" t="s">
        <v>560</v>
      </c>
      <c r="C69" s="88"/>
      <c r="D69" s="29" t="s">
        <v>522</v>
      </c>
      <c r="E69" s="445">
        <f>E25</f>
        <v>336.76774755110586</v>
      </c>
      <c r="F69" s="445">
        <f>F25</f>
        <v>482.94330701721691</v>
      </c>
      <c r="G69" s="445">
        <f t="shared" ref="G69:I69" si="12">G25</f>
        <v>418.59513299375936</v>
      </c>
      <c r="H69" s="445">
        <f t="shared" si="12"/>
        <v>0</v>
      </c>
      <c r="I69" s="445">
        <f t="shared" si="12"/>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Reconciliation'!D157</f>
        <v>-761.15940752567258</v>
      </c>
      <c r="F75" s="446">
        <f>'R3 - Totex - Reconciliation'!E157</f>
        <v>-839.25191265893363</v>
      </c>
      <c r="G75" s="446">
        <f>'R3 - Totex - Reconciliation'!F157</f>
        <v>-767.97190625868984</v>
      </c>
      <c r="H75" s="446">
        <f>'R3 - Totex - Reconciliation'!G157</f>
        <v>0</v>
      </c>
      <c r="I75" s="446">
        <f>'R3 - Totex - Reconciliation'!H157</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Reconciliation'!D157+E76</f>
        <v>135.37546870432743</v>
      </c>
      <c r="F78" s="447">
        <f>'R3 - Totex - Reconciliation'!E129+'R3 - Totex - Reconciliation'!E157+F76</f>
        <v>133.7033474410664</v>
      </c>
      <c r="G78" s="447">
        <f>'R3 - Totex - Reconciliation'!F129+'R3 - Totex - Reconciliation'!F157+G76</f>
        <v>154.02809374131016</v>
      </c>
      <c r="H78" s="447">
        <f>'R3 - Totex - Reconciliation'!G129+'R3 - Totex - Reconciliation'!G157+H76</f>
        <v>0</v>
      </c>
      <c r="I78" s="447">
        <f>'R3 - Totex - Reconciliation'!H129+'R3 - Totex - Reconciliation'!H157+I76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201.39227884677842</v>
      </c>
      <c r="F82" s="449">
        <f>F69-F78</f>
        <v>349.23995957615051</v>
      </c>
      <c r="G82" s="449">
        <f>G69-G78</f>
        <v>264.56703925244921</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3">SUM(F87:F88)</f>
        <v>12</v>
      </c>
      <c r="G89" s="450">
        <f t="shared" si="13"/>
        <v>18</v>
      </c>
      <c r="H89" s="450">
        <f t="shared" si="13"/>
        <v>0</v>
      </c>
      <c r="I89" s="450">
        <f t="shared" si="13"/>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4">SUM(F84,F89)</f>
        <v>434.04473989999997</v>
      </c>
      <c r="G91" s="451">
        <f t="shared" si="14"/>
        <v>480</v>
      </c>
      <c r="H91" s="451">
        <f t="shared" si="14"/>
        <v>0</v>
      </c>
      <c r="I91" s="451">
        <f t="shared" si="14"/>
        <v>0</v>
      </c>
    </row>
    <row r="92" spans="2:13">
      <c r="B92" s="114"/>
      <c r="C92" s="114"/>
      <c r="D92" s="114"/>
    </row>
    <row r="93" spans="2:13">
      <c r="B93" s="414" t="s">
        <v>576</v>
      </c>
      <c r="C93" s="415"/>
      <c r="D93" s="323" t="s">
        <v>522</v>
      </c>
      <c r="E93" s="443">
        <f>E81-E84</f>
        <v>685</v>
      </c>
      <c r="F93" s="443">
        <f t="shared" ref="F93:I93" si="15">F81-F84</f>
        <v>945</v>
      </c>
      <c r="G93" s="443">
        <f t="shared" si="15"/>
        <v>892.9805964899997</v>
      </c>
      <c r="H93" s="443">
        <f t="shared" si="15"/>
        <v>0</v>
      </c>
      <c r="I93" s="443">
        <f t="shared" si="15"/>
        <v>0</v>
      </c>
    </row>
    <row r="94" spans="2:13">
      <c r="B94" s="416" t="s">
        <v>577</v>
      </c>
      <c r="D94" s="29" t="s">
        <v>522</v>
      </c>
      <c r="E94" s="451">
        <f>E82-E91</f>
        <v>-210.07284492322162</v>
      </c>
      <c r="F94" s="451">
        <f t="shared" ref="F94:I94" si="16">F82-F91</f>
        <v>-84.804780323849457</v>
      </c>
      <c r="G94" s="451">
        <f t="shared" si="16"/>
        <v>-215.43296074755079</v>
      </c>
      <c r="H94" s="451">
        <f t="shared" si="16"/>
        <v>0</v>
      </c>
      <c r="I94" s="451">
        <f t="shared" si="16"/>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59.794169086445322</v>
      </c>
      <c r="F97" s="452">
        <f>'R5 - Financing'!E29</f>
        <v>83.570218017874538</v>
      </c>
      <c r="G97" s="452">
        <f>'R5 - Financing'!F29</f>
        <v>59.954140399470418</v>
      </c>
      <c r="H97" s="452">
        <f>'R5 - Financing'!G29</f>
        <v>45.895027633417357</v>
      </c>
      <c r="I97" s="452">
        <f>'R5 - Financing'!H29</f>
        <v>46.798280149263888</v>
      </c>
    </row>
    <row r="98" spans="2:9">
      <c r="B98" s="421" t="s">
        <v>580</v>
      </c>
      <c r="D98" s="29" t="s">
        <v>522</v>
      </c>
      <c r="E98" s="451">
        <f>E96-E97</f>
        <v>256.55929904355457</v>
      </c>
      <c r="F98" s="451">
        <f>F96-F97</f>
        <v>121.40477633212532</v>
      </c>
      <c r="G98" s="451">
        <f>G96-G97</f>
        <v>142.90397952526502</v>
      </c>
      <c r="H98" s="451">
        <f>H96-H97</f>
        <v>135.78953477310827</v>
      </c>
      <c r="I98" s="453">
        <f>I96-I97</f>
        <v>142.01557140456038</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01">
        <v>-379</v>
      </c>
      <c r="F101" s="401">
        <v>-63</v>
      </c>
      <c r="G101" s="401">
        <v>-14</v>
      </c>
      <c r="H101" s="401"/>
      <c r="I101" s="401"/>
    </row>
    <row r="102" spans="2:9">
      <c r="B102" s="419" t="s">
        <v>583</v>
      </c>
      <c r="D102" s="29" t="s">
        <v>522</v>
      </c>
      <c r="E102" s="443">
        <f>SUM(E100:E101)</f>
        <v>83</v>
      </c>
      <c r="F102" s="443">
        <f t="shared" ref="F102:I102" si="17">SUM(F100:F101)</f>
        <v>97</v>
      </c>
      <c r="G102" s="443">
        <f t="shared" si="17"/>
        <v>160</v>
      </c>
      <c r="H102" s="443">
        <f t="shared" si="17"/>
        <v>0</v>
      </c>
      <c r="I102" s="443">
        <f t="shared" si="17"/>
        <v>0</v>
      </c>
    </row>
    <row r="103" spans="2:9">
      <c r="B103" s="420" t="s">
        <v>584</v>
      </c>
      <c r="D103" s="29" t="s">
        <v>522</v>
      </c>
      <c r="E103" s="452">
        <f>Adjusted_regulated_tax_liability</f>
        <v>18.370785021934992</v>
      </c>
      <c r="F103" s="452">
        <f>Adjusted_regulated_tax_liability</f>
        <v>13.7704501313045</v>
      </c>
      <c r="G103" s="452">
        <f>Adjusted_regulated_tax_liability</f>
        <v>29.312013638860098</v>
      </c>
      <c r="H103" s="452">
        <f>Adjusted_regulated_tax_liability</f>
        <v>20.502466909590208</v>
      </c>
      <c r="I103" s="452">
        <f>Adjusted_regulated_tax_liability</f>
        <v>31.120288286332769</v>
      </c>
    </row>
    <row r="104" spans="2:9">
      <c r="B104" s="421" t="s">
        <v>580</v>
      </c>
      <c r="D104" s="29" t="s">
        <v>522</v>
      </c>
      <c r="E104" s="454">
        <f>E102-E103</f>
        <v>64.629214978065008</v>
      </c>
      <c r="F104" s="454">
        <f t="shared" ref="F104:I104" si="18">F102-F103</f>
        <v>83.2295498686955</v>
      </c>
      <c r="G104" s="454">
        <f t="shared" si="18"/>
        <v>130.68798636113991</v>
      </c>
      <c r="H104" s="454">
        <f t="shared" si="18"/>
        <v>-20.502466909590208</v>
      </c>
      <c r="I104" s="454">
        <f t="shared" si="18"/>
        <v>-31.120288286332769</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-288.23779903160192</v>
      </c>
      <c r="F107" s="443">
        <f>IFERROR(F94-F97-F103,0)</f>
        <v>-182.14544847302849</v>
      </c>
      <c r="G107" s="443">
        <f>IFERROR(G94-G97-G103,0)</f>
        <v>-304.69911478588131</v>
      </c>
      <c r="H107" s="443">
        <f>IFERROR(H94-H97-H103,0)</f>
        <v>-66.397494543007568</v>
      </c>
      <c r="I107" s="443">
        <f>IFERROR(I94-I97-I103,0)</f>
        <v>-77.918568435596654</v>
      </c>
    </row>
    <row r="108" spans="2:9">
      <c r="B108" s="421" t="s">
        <v>580</v>
      </c>
      <c r="D108" s="29" t="s">
        <v>522</v>
      </c>
      <c r="E108" s="451">
        <f>IFERROR(E106-E107,0)</f>
        <v>194.88433090160203</v>
      </c>
      <c r="F108" s="451">
        <f>IFERROR(F106-F107,0)</f>
        <v>762.17045412302866</v>
      </c>
      <c r="G108" s="451">
        <f>IFERROR(G106-G107,0)</f>
        <v>820.82159135114557</v>
      </c>
      <c r="H108" s="451">
        <f>IFERROR(H106-H107,0)</f>
        <v>-115.28706786351806</v>
      </c>
      <c r="I108" s="451">
        <f>IFERROR(I106-I107,0)</f>
        <v>-110.89528311822761</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47"/>
      <c r="C115" s="1348"/>
      <c r="D115" s="1348"/>
      <c r="E115" s="1348"/>
      <c r="F115" s="1348"/>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86" priority="68">
      <formula>C$5="Forecast"</formula>
    </cfRule>
  </conditionalFormatting>
  <conditionalFormatting sqref="E87:F88">
    <cfRule type="expression" dxfId="85" priority="6">
      <formula>D$12="N/A"</formula>
    </cfRule>
  </conditionalFormatting>
  <conditionalFormatting sqref="E100:F100">
    <cfRule type="expression" dxfId="84" priority="5">
      <formula>D$12="N/A"</formula>
    </cfRule>
  </conditionalFormatting>
  <conditionalFormatting sqref="E40:G55">
    <cfRule type="expression" priority="9">
      <formula>$E18="Forecast"</formula>
    </cfRule>
  </conditionalFormatting>
  <conditionalFormatting sqref="E59:G59">
    <cfRule type="expression" priority="7">
      <formula>$E37="Forecast"</formula>
    </cfRule>
    <cfRule type="expression" priority="8">
      <formula>E$5="Forecast"</formula>
    </cfRule>
  </conditionalFormatting>
  <conditionalFormatting sqref="E6:H6">
    <cfRule type="expression" dxfId="83" priority="35">
      <formula>AND(E$5="Actuals",F$5="Forecast")</formula>
    </cfRule>
  </conditionalFormatting>
  <conditionalFormatting sqref="E66:H66">
    <cfRule type="expression" dxfId="82" priority="38">
      <formula>AND(E$5="Actuals",F$5="N/A")</formula>
    </cfRule>
  </conditionalFormatting>
  <conditionalFormatting sqref="E7:I7">
    <cfRule type="expression" dxfId="81" priority="37">
      <formula>AND(E$5="Actuals",F$5="Forecast")</formula>
    </cfRule>
  </conditionalFormatting>
  <conditionalFormatting sqref="E13:I19 E21:I21 E25:I25">
    <cfRule type="expression" dxfId="80" priority="1">
      <formula>E$5="Forecast"</formula>
    </cfRule>
  </conditionalFormatting>
  <conditionalFormatting sqref="E28:I36 E40:I55">
    <cfRule type="expression" priority="33">
      <formula>E$5="Forecast"</formula>
    </cfRule>
  </conditionalFormatting>
  <conditionalFormatting sqref="E28:I36">
    <cfRule type="expression" priority="34">
      <formula>$E6="Forecast"</formula>
    </cfRule>
  </conditionalFormatting>
  <conditionalFormatting sqref="E60:I60">
    <cfRule type="expression" dxfId="79" priority="72">
      <formula>E$5="Forecast"</formula>
    </cfRule>
  </conditionalFormatting>
  <conditionalFormatting sqref="E68:I70 E72:I72">
    <cfRule type="expression" dxfId="78" priority="64">
      <formula>D$12="N/A"</formula>
    </cfRule>
  </conditionalFormatting>
  <conditionalFormatting sqref="E75:I76">
    <cfRule type="expression" dxfId="77" priority="24">
      <formula>E$5="Forecast"</formula>
    </cfRule>
  </conditionalFormatting>
  <conditionalFormatting sqref="E78:I78">
    <cfRule type="expression" dxfId="76" priority="19">
      <formula>D$12="N/A"</formula>
    </cfRule>
  </conditionalFormatting>
  <conditionalFormatting sqref="E78:I79">
    <cfRule type="expression" dxfId="75" priority="18">
      <formula>E$5="Forecast"</formula>
    </cfRule>
  </conditionalFormatting>
  <conditionalFormatting sqref="E84:I84">
    <cfRule type="expression" dxfId="74" priority="16">
      <formula>E$5="Forecast"</formula>
    </cfRule>
    <cfRule type="expression" dxfId="73" priority="17">
      <formula>D$12="N/A"</formula>
    </cfRule>
  </conditionalFormatting>
  <conditionalFormatting sqref="E87:I87">
    <cfRule type="expression" dxfId="72" priority="3">
      <formula>E$5="Forecast"</formula>
    </cfRule>
  </conditionalFormatting>
  <conditionalFormatting sqref="E88:I89 E100:I100 E28:I37 E40:I56 E58:I60 E66:I66 E68:I69 E72:I72 E91:I91 E93:I94 E96:I98">
    <cfRule type="expression" dxfId="71" priority="32">
      <formula>E$5="Forecast"</formula>
    </cfRule>
  </conditionalFormatting>
  <conditionalFormatting sqref="E101:I104">
    <cfRule type="expression" dxfId="70" priority="2">
      <formula>E$5="Forecast"</formula>
    </cfRule>
  </conditionalFormatting>
  <conditionalFormatting sqref="E106:I108">
    <cfRule type="expression" dxfId="69" priority="30">
      <formula>E$5="Forecast"</formula>
    </cfRule>
  </conditionalFormatting>
  <conditionalFormatting sqref="G87:I87">
    <cfRule type="expression" dxfId="68" priority="4">
      <formula>F$12="N/A"</formula>
    </cfRule>
  </conditionalFormatting>
  <conditionalFormatting sqref="H25:I25">
    <cfRule type="expression" priority="20">
      <formula>H$5="Forecast"</formula>
    </cfRule>
    <cfRule type="expression" priority="21">
      <formula>$E3="Forecast"</formula>
    </cfRule>
  </conditionalFormatting>
  <conditionalFormatting sqref="I6">
    <cfRule type="expression" dxfId="66" priority="36">
      <formula>AND(I$5="Actuals",#REF!="Forecast")</formula>
    </cfRule>
  </conditionalFormatting>
  <conditionalFormatting sqref="I66">
    <cfRule type="expression" dxfId="65" priority="250">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25"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3" t="s">
        <v>641</v>
      </c>
      <c r="B1" s="524"/>
      <c r="C1" s="525"/>
      <c r="D1" s="526"/>
      <c r="E1" s="526"/>
      <c r="F1" s="526"/>
      <c r="G1" s="526"/>
      <c r="H1" s="526"/>
      <c r="I1" s="328"/>
      <c r="J1" s="328"/>
      <c r="K1" s="456"/>
    </row>
    <row r="2" spans="1:14" ht="20">
      <c r="A2" s="329" t="str">
        <f>Licensee</f>
        <v>Cadent-WM</v>
      </c>
      <c r="B2" s="527"/>
      <c r="C2" s="528"/>
      <c r="D2" s="529"/>
      <c r="E2" s="529"/>
      <c r="F2" s="529"/>
      <c r="G2" s="529"/>
      <c r="H2" s="529"/>
      <c r="I2" s="333"/>
      <c r="J2" s="333"/>
      <c r="K2" s="334"/>
    </row>
    <row r="3" spans="1:14" ht="20">
      <c r="A3" s="331">
        <f>Reporting_Year</f>
        <v>2024</v>
      </c>
      <c r="B3" s="332"/>
      <c r="C3" s="530"/>
      <c r="D3" s="531"/>
      <c r="E3" s="531"/>
      <c r="F3" s="531"/>
      <c r="G3" s="531"/>
      <c r="H3" s="531"/>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2" t="s">
        <v>642</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643</v>
      </c>
      <c r="C12" s="468" t="str">
        <f>Data!$C$9</f>
        <v>£m 18/19</v>
      </c>
      <c r="D12" s="1204">
        <f>INDEX(Data!$C$98:$I$126,MATCH($A$2,Data!$B$98:$B$126,0),MATCH(D$6,Data!$C$97:$I$97))</f>
        <v>-7.0993072540795777E-3</v>
      </c>
      <c r="E12" s="1204">
        <f>INDEX(Data!$C$98:$I$126,MATCH($A$2,Data!$B$98:$B$126,0),MATCH(E$6,Data!$C$97:$I$97))</f>
        <v>-7.0993072540795777E-3</v>
      </c>
      <c r="F12" s="1204">
        <f>INDEX(Data!$C$98:$I$126,MATCH($A$2,Data!$B$98:$B$126,0),MATCH(F$6,Data!$C$97:$I$97))</f>
        <v>-7.0993072540795777E-3</v>
      </c>
      <c r="G12" s="1204">
        <f>INDEX(Data!$C$98:$I$126,MATCH($A$2,Data!$B$98:$B$126,0),MATCH(G$6,Data!$C$97:$I$97))</f>
        <v>-7.0993072540795777E-3</v>
      </c>
      <c r="H12" s="1204">
        <f>INDEX(Data!$C$98:$I$126,MATCH($A$2,Data!$B$98:$B$126,0),MATCH(H$6,Data!$C$97:$I$97))</f>
        <v>-7.0993072540795777E-3</v>
      </c>
      <c r="I12" s="1204">
        <f>SUM(D12:INDEX(D12:H12,0,MATCH('RFPR cover'!$C$9,$D$6:$H$6,0)))</f>
        <v>-2.1297921762238735E-2</v>
      </c>
      <c r="J12" s="1205">
        <f>SUM(D12:H12)</f>
        <v>-3.5496536270397887E-2</v>
      </c>
    </row>
    <row r="13" spans="1:14" s="339" customFormat="1" ht="19.5" customHeight="1">
      <c r="A13" s="345"/>
      <c r="B13" s="533" t="s">
        <v>644</v>
      </c>
    </row>
    <row r="14" spans="1:14" s="339" customFormat="1">
      <c r="A14" s="345" t="s">
        <v>488</v>
      </c>
      <c r="B14" s="534" t="str">
        <f>Data!B132</f>
        <v>Customer Satisfaction Survey ODI - (SpC 4.2)</v>
      </c>
      <c r="C14" s="468" t="str">
        <f>Data!$C$9</f>
        <v>£m 18/19</v>
      </c>
      <c r="D14" s="535">
        <v>0.80765898737684227</v>
      </c>
      <c r="E14" s="535">
        <v>0.93421014738973318</v>
      </c>
      <c r="F14" s="535">
        <v>0.9672601052755514</v>
      </c>
      <c r="G14" s="535">
        <v>1.3097593582887703</v>
      </c>
      <c r="H14" s="535">
        <v>1.4005347593582882</v>
      </c>
      <c r="I14" s="497">
        <f>SUM(D14:INDEX(D14:H14,0,MATCH('RFPR cover'!$C$9,$D$6:$H$6,0)))</f>
        <v>2.709129240042127</v>
      </c>
      <c r="J14" s="498">
        <f t="shared" ref="J14:J22" si="2">SUM(D14:H14)</f>
        <v>5.419423357689185</v>
      </c>
    </row>
    <row r="15" spans="1:14" s="339" customFormat="1">
      <c r="A15" s="345" t="s">
        <v>489</v>
      </c>
      <c r="B15" s="534" t="str">
        <f>Data!B133</f>
        <v>Complaints metric ODI - (SpC 4.3)</v>
      </c>
      <c r="C15" s="468" t="str">
        <f>Data!$C$9</f>
        <v>£m 18/19</v>
      </c>
      <c r="D15" s="535">
        <v>0</v>
      </c>
      <c r="E15" s="535">
        <v>0</v>
      </c>
      <c r="F15" s="535">
        <v>0</v>
      </c>
      <c r="G15" s="535">
        <v>0</v>
      </c>
      <c r="H15" s="535">
        <v>0</v>
      </c>
      <c r="I15" s="497">
        <f>SUM(D15:INDEX(D15:H15,0,MATCH('RFPR cover'!$C$9,$D$6:$H$6,0)))</f>
        <v>0</v>
      </c>
      <c r="J15" s="498">
        <f t="shared" si="2"/>
        <v>0</v>
      </c>
    </row>
    <row r="16" spans="1:14" s="339" customFormat="1">
      <c r="A16" s="345" t="s">
        <v>490</v>
      </c>
      <c r="B16" s="534" t="str">
        <f>Data!B134</f>
        <v>Unplanned Interruption Mean Duration ODI [NGN, SGN and WWU] - (SpC 4.5)</v>
      </c>
      <c r="C16" s="468" t="str">
        <f>Data!$C$9</f>
        <v>£m 18/19</v>
      </c>
      <c r="D16" s="535">
        <v>0</v>
      </c>
      <c r="E16" s="535">
        <v>0</v>
      </c>
      <c r="F16" s="535">
        <v>0</v>
      </c>
      <c r="G16" s="535">
        <v>0</v>
      </c>
      <c r="H16" s="535">
        <v>0</v>
      </c>
      <c r="I16" s="497">
        <f>SUM(D16:INDEX(D16:H16,0,MATCH('RFPR cover'!$C$9,$D$6:$H$6,0)))</f>
        <v>0</v>
      </c>
      <c r="J16" s="498">
        <f t="shared" si="2"/>
        <v>0</v>
      </c>
    </row>
    <row r="17" spans="1:10" s="339" customFormat="1">
      <c r="A17" s="345" t="s">
        <v>491</v>
      </c>
      <c r="B17" s="534" t="str">
        <f>Data!B135</f>
        <v>Unplanned Interruption Mean Duration ODI [Cadent only]- (SpC 4.6)</v>
      </c>
      <c r="C17" s="468" t="str">
        <f>Data!$C$9</f>
        <v>£m 18/19</v>
      </c>
      <c r="D17" s="535">
        <v>0</v>
      </c>
      <c r="E17" s="535">
        <v>0</v>
      </c>
      <c r="F17" s="535">
        <v>0</v>
      </c>
      <c r="G17" s="535">
        <v>0</v>
      </c>
      <c r="H17" s="535">
        <v>0</v>
      </c>
      <c r="I17" s="497">
        <f>SUM(D17:INDEX(D17:H17,0,MATCH('RFPR cover'!$C$9,$D$6:$H$6,0)))</f>
        <v>0</v>
      </c>
      <c r="J17" s="498">
        <f t="shared" si="2"/>
        <v>0</v>
      </c>
    </row>
    <row r="18" spans="1:10" s="339" customFormat="1">
      <c r="A18" s="345" t="s">
        <v>492</v>
      </c>
      <c r="B18" s="534" t="str">
        <f>Data!B136</f>
        <v>Shrinkage Management ODI- (SpC 4.4)</v>
      </c>
      <c r="C18" s="468" t="str">
        <f>Data!$C$9</f>
        <v>£m 18/19</v>
      </c>
      <c r="D18" s="535">
        <v>0.36375000000000002</v>
      </c>
      <c r="E18" s="535">
        <v>0.36375000000000002</v>
      </c>
      <c r="F18" s="535">
        <v>-0.36375000000000002</v>
      </c>
      <c r="G18" s="535">
        <v>-0.36375000000000002</v>
      </c>
      <c r="H18" s="535">
        <v>-0.36375000000000002</v>
      </c>
      <c r="I18" s="497">
        <f>SUM(D18:INDEX(D18:H18,0,MATCH('RFPR cover'!$C$9,$D$6:$H$6,0)))</f>
        <v>0.36375000000000002</v>
      </c>
      <c r="J18" s="498">
        <f t="shared" si="2"/>
        <v>-0.36375000000000002</v>
      </c>
    </row>
    <row r="19" spans="1:10" s="339" customFormat="1">
      <c r="A19" s="345" t="s">
        <v>493</v>
      </c>
      <c r="B19" s="534" t="str">
        <f>Data!B137</f>
        <v>Collaborative streetworks ODI [Cadent Lon &amp; EoE, SGN So only]- (SpC 4.7)</v>
      </c>
      <c r="C19" s="468" t="str">
        <f>Data!$C$9</f>
        <v>£m 18/19</v>
      </c>
      <c r="D19" s="535">
        <v>0</v>
      </c>
      <c r="E19" s="535">
        <v>0</v>
      </c>
      <c r="F19" s="535">
        <v>0</v>
      </c>
      <c r="G19" s="535">
        <v>0</v>
      </c>
      <c r="H19" s="535">
        <v>0</v>
      </c>
      <c r="I19" s="497">
        <f>SUM(D19:INDEX(D19:H19,0,MATCH('RFPR cover'!$C$9,$D$6:$H$6,0)))</f>
        <v>0</v>
      </c>
      <c r="J19" s="498">
        <f>SUM(D19:H19)</f>
        <v>0</v>
      </c>
    </row>
    <row r="20" spans="1:10" s="339" customFormat="1">
      <c r="A20" s="345" t="s">
        <v>645</v>
      </c>
      <c r="B20" s="534" t="str">
        <f>Data!B138</f>
        <v/>
      </c>
      <c r="C20" s="468" t="str">
        <f>Data!$C$9</f>
        <v>£m 18/19</v>
      </c>
      <c r="D20" s="535">
        <v>0</v>
      </c>
      <c r="E20" s="535">
        <v>0</v>
      </c>
      <c r="F20" s="535">
        <v>0</v>
      </c>
      <c r="G20" s="535">
        <v>0</v>
      </c>
      <c r="H20" s="535">
        <v>0</v>
      </c>
      <c r="I20" s="497">
        <f>SUM(D20:INDEX(D20:H20,0,MATCH('RFPR cover'!$C$9,$D$6:$H$6,0)))</f>
        <v>0</v>
      </c>
      <c r="J20" s="498">
        <f>SUM(D20:H20)</f>
        <v>0</v>
      </c>
    </row>
    <row r="21" spans="1:10" s="339" customFormat="1">
      <c r="A21" s="345" t="s">
        <v>494</v>
      </c>
      <c r="B21" s="534" t="str">
        <f>Data!B139</f>
        <v/>
      </c>
      <c r="C21" s="468" t="str">
        <f>Data!$C$9</f>
        <v>£m 18/19</v>
      </c>
      <c r="D21" s="535">
        <v>0</v>
      </c>
      <c r="E21" s="535">
        <v>0</v>
      </c>
      <c r="F21" s="535">
        <v>0</v>
      </c>
      <c r="G21" s="535">
        <v>0</v>
      </c>
      <c r="H21" s="535">
        <v>0</v>
      </c>
      <c r="I21" s="497">
        <f>SUM(D21:INDEX(D21:H21,0,MATCH('RFPR cover'!$C$9,$D$6:$H$6,0)))</f>
        <v>0</v>
      </c>
      <c r="J21" s="498">
        <f t="shared" si="2"/>
        <v>0</v>
      </c>
    </row>
    <row r="22" spans="1:10" s="339" customFormat="1">
      <c r="B22" s="482" t="s">
        <v>646</v>
      </c>
      <c r="C22" s="476" t="str">
        <f>Data!$C$9</f>
        <v>£m 18/19</v>
      </c>
      <c r="D22" s="509">
        <f>SUM(D14:D21)</f>
        <v>1.1714089873768423</v>
      </c>
      <c r="E22" s="509">
        <f>SUM(E14:E21)</f>
        <v>1.2979601473897331</v>
      </c>
      <c r="F22" s="509">
        <f>SUM(F14:F21)</f>
        <v>0.60351010527555138</v>
      </c>
      <c r="G22" s="509">
        <f>SUM(G14:G21)</f>
        <v>0.94600935828877031</v>
      </c>
      <c r="H22" s="509">
        <f>SUM(H14:H21)</f>
        <v>1.0367847593582882</v>
      </c>
      <c r="I22" s="497">
        <f>SUM(D22:INDEX(D22:H22,0,MATCH('RFPR cover'!$C$9,$D$6:$H$6,0)))</f>
        <v>3.0728792400421265</v>
      </c>
      <c r="J22" s="498">
        <f t="shared" si="2"/>
        <v>5.0556733576891846</v>
      </c>
    </row>
    <row r="23" spans="1:10" s="339" customFormat="1"/>
    <row r="24" spans="1:10" s="537" customFormat="1" ht="14.25" customHeight="1">
      <c r="A24" s="536"/>
    </row>
    <row r="25" spans="1:10" s="339" customFormat="1">
      <c r="A25" s="538"/>
      <c r="B25" s="539" t="s">
        <v>647</v>
      </c>
      <c r="C25" s="540"/>
      <c r="D25" s="540"/>
      <c r="E25" s="540"/>
      <c r="F25" s="540"/>
      <c r="G25" s="540"/>
      <c r="H25" s="540"/>
      <c r="I25" s="540"/>
      <c r="J25" s="540"/>
    </row>
    <row r="26" spans="1:10" s="339" customFormat="1">
      <c r="A26" s="541" t="s">
        <v>487</v>
      </c>
      <c r="B26" s="1350"/>
      <c r="C26" s="1350"/>
      <c r="D26" s="1350"/>
      <c r="E26" s="1350"/>
      <c r="F26" s="1350"/>
      <c r="G26" s="1350"/>
      <c r="H26" s="1350"/>
      <c r="I26" s="1350"/>
      <c r="J26" s="1350"/>
    </row>
    <row r="27" spans="1:10" s="339" customFormat="1">
      <c r="A27" s="541" t="s">
        <v>488</v>
      </c>
      <c r="B27" s="1350"/>
      <c r="C27" s="1350"/>
      <c r="D27" s="1350"/>
      <c r="E27" s="1350"/>
      <c r="F27" s="1350"/>
      <c r="G27" s="1350"/>
      <c r="H27" s="1350"/>
      <c r="I27" s="1350"/>
      <c r="J27" s="1350"/>
    </row>
    <row r="28" spans="1:10" s="339" customFormat="1">
      <c r="A28" s="541" t="s">
        <v>489</v>
      </c>
      <c r="B28" s="1350"/>
      <c r="C28" s="1350"/>
      <c r="D28" s="1350"/>
      <c r="E28" s="1350"/>
      <c r="F28" s="1350"/>
      <c r="G28" s="1350"/>
      <c r="H28" s="1350"/>
      <c r="I28" s="1350"/>
      <c r="J28" s="1350"/>
    </row>
    <row r="29" spans="1:10" s="339" customFormat="1">
      <c r="A29" s="541" t="s">
        <v>490</v>
      </c>
      <c r="B29" s="1350"/>
      <c r="C29" s="1350"/>
      <c r="D29" s="1350"/>
      <c r="E29" s="1350"/>
      <c r="F29" s="1350"/>
      <c r="G29" s="1350"/>
      <c r="H29" s="1350"/>
      <c r="I29" s="1350"/>
      <c r="J29" s="1350"/>
    </row>
    <row r="30" spans="1:10" s="339" customFormat="1">
      <c r="A30" s="541" t="s">
        <v>491</v>
      </c>
      <c r="B30" s="1350"/>
      <c r="C30" s="1350"/>
      <c r="D30" s="1350"/>
      <c r="E30" s="1350"/>
      <c r="F30" s="1350"/>
      <c r="G30" s="1350"/>
      <c r="H30" s="1350"/>
      <c r="I30" s="1350"/>
      <c r="J30" s="1350"/>
    </row>
    <row r="31" spans="1:10" s="339" customFormat="1">
      <c r="A31" s="541" t="s">
        <v>492</v>
      </c>
      <c r="B31" s="1350"/>
      <c r="C31" s="1350"/>
      <c r="D31" s="1350"/>
      <c r="E31" s="1350"/>
      <c r="F31" s="1350"/>
      <c r="G31" s="1350"/>
      <c r="H31" s="1350"/>
      <c r="I31" s="1350"/>
      <c r="J31" s="1350"/>
    </row>
    <row r="32" spans="1:10" s="339" customFormat="1">
      <c r="A32" s="541" t="s">
        <v>493</v>
      </c>
      <c r="B32" s="402"/>
      <c r="C32" s="402"/>
      <c r="D32" s="402"/>
      <c r="E32" s="402"/>
      <c r="F32" s="402"/>
      <c r="G32" s="402"/>
      <c r="H32" s="402"/>
      <c r="I32" s="402"/>
      <c r="J32" s="402"/>
    </row>
    <row r="33" spans="1:11" s="339" customFormat="1">
      <c r="A33" s="541" t="s">
        <v>645</v>
      </c>
      <c r="B33" s="402"/>
      <c r="C33" s="402"/>
      <c r="D33" s="402"/>
      <c r="E33" s="402"/>
      <c r="F33" s="402"/>
      <c r="G33" s="402"/>
      <c r="H33" s="402"/>
      <c r="I33" s="402"/>
      <c r="J33" s="402"/>
    </row>
    <row r="34" spans="1:11" s="339" customFormat="1">
      <c r="A34" s="541" t="s">
        <v>494</v>
      </c>
      <c r="B34" s="1350"/>
      <c r="C34" s="1350"/>
      <c r="D34" s="1350"/>
      <c r="E34" s="1350"/>
      <c r="F34" s="1350"/>
      <c r="G34" s="1350"/>
      <c r="H34" s="1350"/>
      <c r="I34" s="1350"/>
      <c r="J34" s="1350"/>
    </row>
    <row r="35" spans="1:11" s="339" customFormat="1">
      <c r="A35" s="345"/>
      <c r="C35" s="468"/>
      <c r="D35" s="468"/>
      <c r="E35" s="468"/>
      <c r="F35" s="468"/>
      <c r="G35" s="468"/>
      <c r="H35" s="468"/>
      <c r="I35" s="468"/>
      <c r="J35" s="468"/>
    </row>
    <row r="36" spans="1:11" s="339" customFormat="1" ht="20.5">
      <c r="B36" s="532" t="s">
        <v>648</v>
      </c>
      <c r="C36" s="392"/>
      <c r="D36" s="393"/>
      <c r="E36" s="393"/>
      <c r="F36" s="393"/>
      <c r="G36" s="393"/>
      <c r="H36" s="393"/>
      <c r="I36" s="393"/>
      <c r="J36" s="393"/>
      <c r="K36" s="393"/>
    </row>
    <row r="37" spans="1:11" s="339" customFormat="1">
      <c r="A37" s="482"/>
      <c r="C37" s="29"/>
    </row>
    <row r="38" spans="1:11">
      <c r="B38" s="542" t="s">
        <v>649</v>
      </c>
    </row>
    <row r="39" spans="1:11">
      <c r="B39" s="482"/>
    </row>
    <row r="40" spans="1:11" s="339" customFormat="1">
      <c r="A40" s="467" t="s">
        <v>494</v>
      </c>
      <c r="B40" s="482" t="s">
        <v>122</v>
      </c>
      <c r="C40" s="40" t="s">
        <v>650</v>
      </c>
      <c r="D40" s="492"/>
      <c r="E40" s="492"/>
      <c r="F40" s="492"/>
      <c r="G40" s="492"/>
      <c r="H40" s="492"/>
    </row>
    <row r="41" spans="1:11" s="339" customFormat="1">
      <c r="B41" s="389" t="s">
        <v>651</v>
      </c>
      <c r="C41" s="468" t="str">
        <f>Data!$C$9</f>
        <v>£m 18/19</v>
      </c>
      <c r="D41" s="397">
        <v>0.31729832764654614</v>
      </c>
      <c r="E41" s="397">
        <v>0.52481832437136378</v>
      </c>
      <c r="F41" s="397">
        <v>0.75563722284645374</v>
      </c>
      <c r="G41" s="397">
        <v>2.1543509822987352</v>
      </c>
      <c r="H41" s="397">
        <v>2.1377553995421135</v>
      </c>
      <c r="I41" s="497">
        <f>SUM(D41:INDEX(D41:H41,0,MATCH('RFPR cover'!$C$9,$D$6:$H$6,0)))</f>
        <v>1.5977538748643636</v>
      </c>
      <c r="J41" s="498">
        <f t="shared" ref="J41" si="3">SUM(D41:H41)</f>
        <v>5.8898602567052123</v>
      </c>
      <c r="K41" s="339" t="s">
        <v>652</v>
      </c>
    </row>
    <row r="42" spans="1:11" s="339" customFormat="1">
      <c r="B42" s="389" t="s">
        <v>653</v>
      </c>
      <c r="C42" s="468" t="str">
        <f>Data!$C$9</f>
        <v>£m 18/19</v>
      </c>
      <c r="D42" s="543">
        <v>0</v>
      </c>
      <c r="E42" s="469">
        <v>0</v>
      </c>
      <c r="F42" s="469">
        <v>0</v>
      </c>
      <c r="G42" s="469">
        <v>0</v>
      </c>
      <c r="H42" s="469">
        <v>0</v>
      </c>
      <c r="I42" s="497">
        <f>SUM(D42:INDEX(D42:H42,0,MATCH('RFPR cover'!$C$9,$D$6:$H$6,0)))</f>
        <v>0</v>
      </c>
      <c r="J42" s="498">
        <f t="shared" ref="J42:J45" si="4">SUM(D42:H42)</f>
        <v>0</v>
      </c>
    </row>
    <row r="43" spans="1:11" s="339" customFormat="1">
      <c r="B43" s="389" t="s">
        <v>654</v>
      </c>
      <c r="C43" s="468" t="str">
        <f>Data!$C$9</f>
        <v>£m 18/19</v>
      </c>
      <c r="D43" s="401">
        <v>0.1</v>
      </c>
      <c r="E43" s="401">
        <v>0.1</v>
      </c>
      <c r="F43" s="401">
        <v>0.1</v>
      </c>
      <c r="G43" s="401">
        <v>0.1</v>
      </c>
      <c r="H43" s="401">
        <v>0.1</v>
      </c>
      <c r="I43" s="497">
        <f>SUM(D43:INDEX(D43:H43,0,MATCH('RFPR cover'!$C$9,$D$6:$H$6,0)))</f>
        <v>0.30000000000000004</v>
      </c>
      <c r="J43" s="498">
        <f t="shared" si="4"/>
        <v>0.5</v>
      </c>
    </row>
    <row r="44" spans="1:11" s="482" customFormat="1">
      <c r="B44" s="339" t="s">
        <v>655</v>
      </c>
      <c r="C44" s="468" t="str">
        <f>Data!$C$9</f>
        <v>£m 18/19</v>
      </c>
      <c r="D44" s="509">
        <f>D41-D42-D43</f>
        <v>0.21729832764654614</v>
      </c>
      <c r="E44" s="551">
        <f t="shared" ref="E44:H44" si="5">E41-E42-E43</f>
        <v>0.4248183243713638</v>
      </c>
      <c r="F44" s="551">
        <f t="shared" si="5"/>
        <v>0.65563722284645376</v>
      </c>
      <c r="G44" s="551">
        <f t="shared" si="5"/>
        <v>2.0543509822987351</v>
      </c>
      <c r="H44" s="551">
        <f t="shared" si="5"/>
        <v>2.0377553995421134</v>
      </c>
      <c r="I44" s="497">
        <f>SUM(D44:INDEX(D44:H44,0,MATCH('RFPR cover'!$C$9,$D$6:$H$6,0)))</f>
        <v>1.2977538748643638</v>
      </c>
      <c r="J44" s="498">
        <f t="shared" si="4"/>
        <v>5.3898602567052123</v>
      </c>
      <c r="K44" s="339"/>
    </row>
    <row r="45" spans="1:11" s="339" customFormat="1">
      <c r="A45" s="480"/>
      <c r="B45" s="482" t="s">
        <v>656</v>
      </c>
      <c r="C45" s="468" t="str">
        <f>Data!$C$9</f>
        <v>£m 18/19</v>
      </c>
      <c r="D45" s="552">
        <f>D42+D43</f>
        <v>0.1</v>
      </c>
      <c r="E45" s="552">
        <f t="shared" ref="E45:H45" si="6">E42+E43</f>
        <v>0.1</v>
      </c>
      <c r="F45" s="552">
        <f t="shared" si="6"/>
        <v>0.1</v>
      </c>
      <c r="G45" s="552">
        <f t="shared" si="6"/>
        <v>0.1</v>
      </c>
      <c r="H45" s="552">
        <f t="shared" si="6"/>
        <v>0.1</v>
      </c>
      <c r="I45" s="497">
        <f>SUM(D45:INDEX(D45:H45,0,MATCH('RFPR cover'!$C$9,$D$6:$H$6,0)))</f>
        <v>0.30000000000000004</v>
      </c>
      <c r="J45" s="498">
        <f t="shared" si="4"/>
        <v>0.5</v>
      </c>
    </row>
    <row r="46" spans="1:11" s="339" customFormat="1">
      <c r="A46" s="480"/>
      <c r="B46" s="482"/>
      <c r="C46" s="468"/>
      <c r="D46" s="544"/>
      <c r="E46" s="544"/>
      <c r="F46" s="544"/>
      <c r="G46" s="544"/>
      <c r="H46" s="544"/>
    </row>
    <row r="47" spans="1:11" s="339" customFormat="1">
      <c r="A47" s="467" t="s">
        <v>495</v>
      </c>
      <c r="B47" s="482" t="s">
        <v>657</v>
      </c>
      <c r="C47" s="468" t="s">
        <v>658</v>
      </c>
      <c r="D47" s="544"/>
      <c r="E47" s="544"/>
      <c r="F47" s="544"/>
      <c r="G47" s="544"/>
      <c r="H47" s="544"/>
    </row>
    <row r="48" spans="1:11" s="339" customFormat="1" ht="14">
      <c r="A48" s="480"/>
      <c r="B48" s="389" t="s">
        <v>659</v>
      </c>
      <c r="C48" s="468" t="str">
        <f>Data!$C$9</f>
        <v>£m 18/19</v>
      </c>
      <c r="D48" s="397">
        <v>0.56045279327622499</v>
      </c>
      <c r="E48" s="545"/>
      <c r="F48" s="545"/>
      <c r="G48" s="545"/>
      <c r="H48" s="545"/>
      <c r="K48" s="339" t="s">
        <v>652</v>
      </c>
    </row>
    <row r="49" spans="1:11" s="339" customFormat="1" ht="14">
      <c r="A49" s="480"/>
      <c r="B49" s="389" t="s">
        <v>653</v>
      </c>
      <c r="C49" s="468" t="str">
        <f>Data!$C$9</f>
        <v>£m 18/19</v>
      </c>
      <c r="D49" s="543">
        <v>0</v>
      </c>
      <c r="E49" s="545"/>
      <c r="F49" s="545"/>
      <c r="G49" s="545"/>
      <c r="H49" s="545"/>
    </row>
    <row r="50" spans="1:11" s="339" customFormat="1" ht="14">
      <c r="A50" s="480"/>
      <c r="B50" s="389" t="s">
        <v>654</v>
      </c>
      <c r="C50" s="468" t="str">
        <f>Data!$C$9</f>
        <v>£m 18/19</v>
      </c>
      <c r="D50" s="401">
        <v>5.6013806607049903E-2</v>
      </c>
      <c r="E50" s="545"/>
      <c r="F50" s="545"/>
      <c r="G50" s="545"/>
      <c r="H50" s="545"/>
    </row>
    <row r="51" spans="1:11" s="339" customFormat="1" ht="14">
      <c r="A51" s="480"/>
      <c r="B51" s="339" t="s">
        <v>660</v>
      </c>
      <c r="C51" s="468" t="str">
        <f>Data!$C$9</f>
        <v>£m 18/19</v>
      </c>
      <c r="D51" s="509">
        <f>D48-D49-D50</f>
        <v>0.50443898666917508</v>
      </c>
      <c r="E51" s="545"/>
      <c r="F51" s="545"/>
      <c r="G51" s="545"/>
      <c r="H51" s="545"/>
    </row>
    <row r="52" spans="1:11" ht="14">
      <c r="A52" s="546"/>
      <c r="B52" s="482" t="s">
        <v>661</v>
      </c>
      <c r="C52" s="468" t="str">
        <f>Data!$C$9</f>
        <v>£m 18/19</v>
      </c>
      <c r="D52" s="551">
        <f>D49+D50</f>
        <v>5.6013806607049903E-2</v>
      </c>
      <c r="E52" s="545"/>
      <c r="F52" s="545"/>
      <c r="G52" s="545"/>
      <c r="H52" s="545"/>
      <c r="K52" s="339"/>
    </row>
    <row r="53" spans="1:11">
      <c r="B53" s="482"/>
      <c r="C53" s="468"/>
      <c r="D53" s="468"/>
      <c r="E53" s="468"/>
      <c r="F53" s="468"/>
      <c r="G53" s="468"/>
      <c r="H53" s="468"/>
      <c r="K53" s="468"/>
    </row>
    <row r="54" spans="1:11">
      <c r="A54" s="467" t="s">
        <v>496</v>
      </c>
      <c r="B54" s="482" t="s">
        <v>662</v>
      </c>
      <c r="C54" s="468" t="s">
        <v>663</v>
      </c>
      <c r="D54" s="544"/>
      <c r="E54" s="544"/>
      <c r="F54" s="544"/>
      <c r="G54" s="544"/>
      <c r="H54" s="544"/>
      <c r="K54" s="339"/>
    </row>
    <row r="55" spans="1:11">
      <c r="A55" s="480"/>
      <c r="B55" s="389" t="s">
        <v>664</v>
      </c>
      <c r="C55" s="468" t="str">
        <f>Data!$C$9</f>
        <v>£m 18/19</v>
      </c>
      <c r="D55" s="397">
        <v>0</v>
      </c>
      <c r="E55" s="397">
        <v>8.4766989984491906E-2</v>
      </c>
      <c r="F55" s="397">
        <v>0.29708966667742848</v>
      </c>
      <c r="G55" s="397">
        <v>0.84309229732783775</v>
      </c>
      <c r="H55" s="397">
        <v>0.81097449552487255</v>
      </c>
      <c r="I55" s="497">
        <f>SUM(D55:INDEX(D55:H55,0,MATCH('RFPR cover'!$C$9,$D$6:$H$6,0)))</f>
        <v>0.38185665666192037</v>
      </c>
      <c r="J55" s="498">
        <f t="shared" ref="J55" si="7">SUM(D55:H55)</f>
        <v>2.0359234495146308</v>
      </c>
      <c r="K55" s="339" t="s">
        <v>652</v>
      </c>
    </row>
    <row r="56" spans="1:11">
      <c r="A56" s="480"/>
      <c r="B56" s="389" t="s">
        <v>665</v>
      </c>
      <c r="C56" s="468" t="str">
        <f>Data!$C$9</f>
        <v>£m 18/19</v>
      </c>
      <c r="D56" s="543">
        <v>0</v>
      </c>
      <c r="E56" s="469">
        <v>0</v>
      </c>
      <c r="F56" s="469">
        <v>0</v>
      </c>
      <c r="G56" s="469">
        <v>0</v>
      </c>
      <c r="H56" s="469">
        <v>0</v>
      </c>
      <c r="I56" s="497">
        <f>SUM(D56:INDEX(D56:H56,0,MATCH('RFPR cover'!$C$9,$D$6:$H$6,0)))</f>
        <v>0</v>
      </c>
      <c r="J56" s="498">
        <f t="shared" ref="J56:J59" si="8">SUM(D56:H56)</f>
        <v>0</v>
      </c>
    </row>
    <row r="57" spans="1:11">
      <c r="A57" s="480"/>
      <c r="B57" s="389" t="s">
        <v>654</v>
      </c>
      <c r="C57" s="468" t="str">
        <f>Data!$C$9</f>
        <v>£m 18/19</v>
      </c>
      <c r="D57" s="401"/>
      <c r="E57" s="401"/>
      <c r="F57" s="401"/>
      <c r="G57" s="401"/>
      <c r="H57" s="401"/>
      <c r="I57" s="497">
        <f>SUM(D57:INDEX(D57:H57,0,MATCH('RFPR cover'!$C$9,$D$6:$H$6,0)))</f>
        <v>0</v>
      </c>
      <c r="J57" s="498">
        <f t="shared" si="8"/>
        <v>0</v>
      </c>
    </row>
    <row r="58" spans="1:11">
      <c r="A58" s="480"/>
      <c r="B58" s="339" t="s">
        <v>666</v>
      </c>
      <c r="C58" s="468" t="str">
        <f>Data!$C$9</f>
        <v>£m 18/19</v>
      </c>
      <c r="D58" s="509">
        <f>D55-D56-D57</f>
        <v>0</v>
      </c>
      <c r="E58" s="551">
        <f>E55-E56-E57</f>
        <v>8.4766989984491906E-2</v>
      </c>
      <c r="F58" s="551">
        <f>F55-F56-F57</f>
        <v>0.29708966667742848</v>
      </c>
      <c r="G58" s="551">
        <f>G55-G56-G57</f>
        <v>0.84309229732783775</v>
      </c>
      <c r="H58" s="551">
        <f>H55-H56-H57</f>
        <v>0.81097449552487255</v>
      </c>
      <c r="I58" s="497">
        <f>SUM(D58:INDEX(D58:H58,0,MATCH('RFPR cover'!$C$9,$D$6:$H$6,0)))</f>
        <v>0.38185665666192037</v>
      </c>
      <c r="J58" s="498">
        <f t="shared" si="8"/>
        <v>2.0359234495146308</v>
      </c>
    </row>
    <row r="59" spans="1:11">
      <c r="A59" s="546"/>
      <c r="B59" s="482" t="s">
        <v>667</v>
      </c>
      <c r="C59" s="468" t="str">
        <f>Data!$C$9</f>
        <v>£m 18/19</v>
      </c>
      <c r="D59" s="551">
        <f>D56+D57</f>
        <v>0</v>
      </c>
      <c r="E59" s="551">
        <f>E56+E57</f>
        <v>0</v>
      </c>
      <c r="F59" s="551">
        <f>F56+F57</f>
        <v>0</v>
      </c>
      <c r="G59" s="551">
        <f>G56+G57</f>
        <v>0</v>
      </c>
      <c r="H59" s="551">
        <f>H56+H57</f>
        <v>0</v>
      </c>
      <c r="I59" s="497">
        <f>SUM(D59:INDEX(D59:H59,0,MATCH('RFPR cover'!$C$9,$D$6:$H$6,0)))</f>
        <v>0</v>
      </c>
      <c r="J59" s="498">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2" t="s">
        <v>668</v>
      </c>
      <c r="C62" s="29"/>
    </row>
    <row r="63" spans="1:11" s="339" customFormat="1" ht="16">
      <c r="B63" s="547" t="s">
        <v>669</v>
      </c>
      <c r="C63" s="548"/>
      <c r="D63" s="547"/>
      <c r="E63" s="547"/>
      <c r="F63" s="547"/>
      <c r="G63" s="547"/>
      <c r="H63" s="547"/>
      <c r="I63" s="547"/>
      <c r="J63" s="547"/>
      <c r="K63" s="547"/>
    </row>
    <row r="64" spans="1:11" s="339" customFormat="1">
      <c r="B64" s="549" t="s">
        <v>670</v>
      </c>
      <c r="C64" s="29"/>
    </row>
    <row r="65" spans="1:13" s="339" customFormat="1" ht="19" customHeight="1">
      <c r="A65" s="345"/>
      <c r="B65" s="533" t="s">
        <v>671</v>
      </c>
    </row>
    <row r="66" spans="1:13" s="339" customFormat="1" ht="14.5" customHeight="1">
      <c r="A66" s="345" t="s">
        <v>497</v>
      </c>
      <c r="B66" s="550" t="str">
        <f>Data!B199</f>
        <v/>
      </c>
      <c r="C66" s="468" t="str">
        <f>Data!$C$9</f>
        <v>£m 18/19</v>
      </c>
      <c r="D66" s="535">
        <v>0</v>
      </c>
      <c r="E66" s="535">
        <v>0</v>
      </c>
      <c r="F66" s="535">
        <v>0</v>
      </c>
      <c r="G66" s="535">
        <v>0</v>
      </c>
      <c r="H66" s="535">
        <v>0</v>
      </c>
      <c r="I66" s="497">
        <f>SUM(D66:INDEX(D66:H66,0,MATCH('RFPR cover'!$C$9,$D$6:$H$6,0)))</f>
        <v>0</v>
      </c>
      <c r="J66" s="498">
        <f t="shared" ref="J66" si="9">SUM(D66:H66)</f>
        <v>0</v>
      </c>
    </row>
    <row r="67" spans="1:13" s="339" customFormat="1" ht="14.5" customHeight="1">
      <c r="A67" s="345" t="s">
        <v>498</v>
      </c>
      <c r="B67" s="550" t="str">
        <f>Data!B200</f>
        <v/>
      </c>
      <c r="C67" s="468" t="str">
        <f>Data!$C$9</f>
        <v>£m 18/19</v>
      </c>
      <c r="D67" s="535">
        <v>0</v>
      </c>
      <c r="E67" s="535">
        <v>0</v>
      </c>
      <c r="F67" s="535">
        <v>0</v>
      </c>
      <c r="G67" s="535">
        <v>0</v>
      </c>
      <c r="H67" s="535">
        <v>0</v>
      </c>
      <c r="I67" s="497">
        <f>SUM(D67:INDEX(D67:H67,0,MATCH('RFPR cover'!$C$9,$D$6:$H$6,0)))</f>
        <v>0</v>
      </c>
      <c r="J67" s="498">
        <f t="shared" ref="J67:J71" si="10">SUM(D67:H67)</f>
        <v>0</v>
      </c>
    </row>
    <row r="68" spans="1:13" s="339" customFormat="1" ht="14.5" customHeight="1">
      <c r="A68" s="345" t="s">
        <v>499</v>
      </c>
      <c r="B68" s="550" t="str">
        <f>Data!B201</f>
        <v/>
      </c>
      <c r="C68" s="468" t="str">
        <f>Data!$C$9</f>
        <v>£m 18/19</v>
      </c>
      <c r="D68" s="535">
        <v>0</v>
      </c>
      <c r="E68" s="535">
        <v>0</v>
      </c>
      <c r="F68" s="535">
        <v>0</v>
      </c>
      <c r="G68" s="535">
        <v>0</v>
      </c>
      <c r="H68" s="535">
        <v>0</v>
      </c>
      <c r="I68" s="497">
        <f>SUM(D68:INDEX(D68:H68,0,MATCH('RFPR cover'!$C$9,$D$6:$H$6,0)))</f>
        <v>0</v>
      </c>
      <c r="J68" s="498">
        <f t="shared" si="10"/>
        <v>0</v>
      </c>
    </row>
    <row r="69" spans="1:13" s="339" customFormat="1" ht="14.5" customHeight="1">
      <c r="A69" s="345" t="s">
        <v>500</v>
      </c>
      <c r="B69" s="550" t="str">
        <f>Data!B202</f>
        <v/>
      </c>
      <c r="C69" s="468" t="str">
        <f>Data!$C$9</f>
        <v>£m 18/19</v>
      </c>
      <c r="D69" s="535">
        <v>0</v>
      </c>
      <c r="E69" s="535">
        <v>0</v>
      </c>
      <c r="F69" s="535">
        <v>0</v>
      </c>
      <c r="G69" s="535">
        <v>0</v>
      </c>
      <c r="H69" s="535">
        <v>0</v>
      </c>
      <c r="I69" s="497">
        <f>SUM(D69:INDEX(D69:H69,0,MATCH('RFPR cover'!$C$9,$D$6:$H$6,0)))</f>
        <v>0</v>
      </c>
      <c r="J69" s="498">
        <f t="shared" si="10"/>
        <v>0</v>
      </c>
    </row>
    <row r="70" spans="1:13" s="339" customFormat="1" ht="14.5" customHeight="1">
      <c r="A70" s="345" t="s">
        <v>501</v>
      </c>
      <c r="B70" s="550" t="str">
        <f>Data!B203</f>
        <v/>
      </c>
      <c r="C70" s="468" t="str">
        <f>Data!$C$9</f>
        <v>£m 18/19</v>
      </c>
      <c r="D70" s="535">
        <v>0</v>
      </c>
      <c r="E70" s="535">
        <v>0</v>
      </c>
      <c r="F70" s="535">
        <v>0</v>
      </c>
      <c r="G70" s="535">
        <v>0</v>
      </c>
      <c r="H70" s="535">
        <v>0</v>
      </c>
      <c r="I70" s="497">
        <f>SUM(D70:INDEX(D70:H70,0,MATCH('RFPR cover'!$C$9,$D$6:$H$6,0)))</f>
        <v>0</v>
      </c>
      <c r="J70" s="498">
        <f t="shared" si="10"/>
        <v>0</v>
      </c>
    </row>
    <row r="71" spans="1:13" s="339" customFormat="1" ht="14.5" customHeight="1">
      <c r="B71" s="482"/>
      <c r="C71" s="476" t="str">
        <f>Data!$C$9</f>
        <v>£m 18/19</v>
      </c>
      <c r="D71" s="509">
        <f>SUM(D66:D70)</f>
        <v>0</v>
      </c>
      <c r="E71" s="509">
        <f>SUM(E66:E70)</f>
        <v>0</v>
      </c>
      <c r="F71" s="509">
        <f>SUM(F66:F70)</f>
        <v>0</v>
      </c>
      <c r="G71" s="509">
        <f>SUM(G66:G70)</f>
        <v>0</v>
      </c>
      <c r="H71" s="509">
        <f>SUM(H66:H70)</f>
        <v>0</v>
      </c>
      <c r="I71" s="497">
        <f>SUM(D71:INDEX(D71:H71,0,MATCH('RFPR cover'!$C$9,$D$6:$H$6,0)))</f>
        <v>0</v>
      </c>
      <c r="J71" s="498">
        <f t="shared" si="10"/>
        <v>0</v>
      </c>
    </row>
    <row r="72" spans="1:13" s="339" customFormat="1" ht="14.5" customHeight="1">
      <c r="B72" s="482"/>
      <c r="C72" s="476"/>
      <c r="D72" s="476"/>
      <c r="E72" s="476"/>
      <c r="F72" s="476"/>
      <c r="G72" s="476"/>
      <c r="H72" s="476"/>
      <c r="I72" s="476"/>
    </row>
    <row r="73" spans="1:13" s="537" customFormat="1" ht="14.25" customHeight="1">
      <c r="A73" s="536"/>
      <c r="M73" s="339"/>
    </row>
    <row r="74" spans="1:13" s="339" customFormat="1">
      <c r="A74" s="538"/>
      <c r="B74" s="539" t="s">
        <v>647</v>
      </c>
      <c r="C74" s="540"/>
      <c r="D74" s="540"/>
      <c r="E74" s="540"/>
      <c r="F74" s="540"/>
      <c r="G74" s="540"/>
      <c r="H74" s="540"/>
      <c r="I74" s="540"/>
      <c r="J74" s="540"/>
    </row>
    <row r="75" spans="1:13" s="339" customFormat="1">
      <c r="A75" s="541" t="s">
        <v>494</v>
      </c>
      <c r="B75" s="539"/>
      <c r="C75" s="540"/>
      <c r="D75" s="540"/>
      <c r="E75" s="540"/>
      <c r="F75" s="540"/>
      <c r="G75" s="540"/>
      <c r="H75" s="540"/>
      <c r="I75" s="540"/>
      <c r="J75" s="540"/>
    </row>
    <row r="76" spans="1:13" s="339" customFormat="1">
      <c r="A76" s="541" t="s">
        <v>495</v>
      </c>
      <c r="B76" s="539"/>
      <c r="C76" s="540"/>
      <c r="D76" s="540"/>
      <c r="E76" s="540"/>
      <c r="F76" s="540"/>
      <c r="G76" s="540"/>
      <c r="H76" s="540"/>
      <c r="I76" s="540"/>
      <c r="J76" s="540"/>
    </row>
    <row r="77" spans="1:13" s="339" customFormat="1">
      <c r="A77" s="541" t="s">
        <v>496</v>
      </c>
      <c r="B77" s="1350"/>
      <c r="C77" s="1350"/>
      <c r="D77" s="1350"/>
      <c r="E77" s="1350"/>
      <c r="F77" s="1350"/>
      <c r="G77" s="1350"/>
      <c r="H77" s="1350"/>
      <c r="I77" s="1350"/>
      <c r="J77" s="1350"/>
    </row>
    <row r="78" spans="1:13" s="339" customFormat="1">
      <c r="A78" s="541" t="s">
        <v>497</v>
      </c>
      <c r="B78" s="1350"/>
      <c r="C78" s="1350"/>
      <c r="D78" s="1350"/>
      <c r="E78" s="1350"/>
      <c r="F78" s="1350"/>
      <c r="G78" s="1350"/>
      <c r="H78" s="1350"/>
      <c r="I78" s="1350"/>
      <c r="J78" s="1350"/>
    </row>
    <row r="79" spans="1:13" s="339" customFormat="1">
      <c r="A79" s="541" t="s">
        <v>498</v>
      </c>
      <c r="B79" s="1350"/>
      <c r="C79" s="1350"/>
      <c r="D79" s="1350"/>
      <c r="E79" s="1350"/>
      <c r="F79" s="1350"/>
      <c r="G79" s="1350"/>
      <c r="H79" s="1350"/>
      <c r="I79" s="1350"/>
      <c r="J79" s="1350"/>
    </row>
    <row r="80" spans="1:13" s="339" customFormat="1">
      <c r="A80" s="541" t="s">
        <v>499</v>
      </c>
      <c r="B80" s="1350"/>
      <c r="C80" s="1350"/>
      <c r="D80" s="1350"/>
      <c r="E80" s="1350"/>
      <c r="F80" s="1350"/>
      <c r="G80" s="1350"/>
      <c r="H80" s="1350"/>
      <c r="I80" s="1350"/>
      <c r="J80" s="1350"/>
    </row>
    <row r="81" spans="1:10" s="339" customFormat="1">
      <c r="A81" s="541" t="s">
        <v>500</v>
      </c>
      <c r="B81" s="402"/>
      <c r="C81" s="402"/>
      <c r="D81" s="402"/>
      <c r="E81" s="402"/>
      <c r="F81" s="402"/>
      <c r="G81" s="402"/>
      <c r="H81" s="402"/>
      <c r="I81" s="402"/>
      <c r="J81" s="402"/>
    </row>
    <row r="82" spans="1:10" s="339" customFormat="1">
      <c r="A82" s="541" t="s">
        <v>501</v>
      </c>
      <c r="B82" s="1350"/>
      <c r="C82" s="1350"/>
      <c r="D82" s="1350"/>
      <c r="E82" s="1350"/>
      <c r="F82" s="1350"/>
      <c r="G82" s="1350"/>
      <c r="H82" s="1350"/>
      <c r="I82" s="1350"/>
      <c r="J82" s="1350"/>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64" priority="1">
      <formula>AND(D$5="Actuals",E$5="Forecast")</formula>
    </cfRule>
  </conditionalFormatting>
  <conditionalFormatting sqref="H5:H6">
    <cfRule type="expression" dxfId="63" priority="237">
      <formula>AND(H$5="Actuals",#REF!="Forecast")</formula>
    </cfRule>
  </conditionalFormatting>
  <conditionalFormatting sqref="I5 D5:G6">
    <cfRule type="expression" dxfId="62"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E19" sqref="E19"/>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3">
        <v>2024</v>
      </c>
      <c r="B3" s="554" t="s">
        <v>1246</v>
      </c>
      <c r="C3" s="553"/>
      <c r="D3" s="335"/>
      <c r="E3" s="335"/>
      <c r="F3" s="335"/>
      <c r="G3" s="335"/>
      <c r="H3" s="335"/>
      <c r="I3" s="336"/>
      <c r="J3" s="336"/>
      <c r="K3" s="337"/>
    </row>
    <row r="4" spans="1:27" ht="12.75" customHeight="1">
      <c r="A4" s="555"/>
      <c r="B4" s="555"/>
      <c r="C4" s="555"/>
      <c r="D4" s="555"/>
      <c r="E4" s="555"/>
      <c r="F4" s="555"/>
      <c r="G4" s="555"/>
      <c r="H4" s="555"/>
      <c r="I4" s="556"/>
    </row>
    <row r="5" spans="1:27">
      <c r="A5" s="339"/>
      <c r="B5" s="480"/>
      <c r="C5" s="480"/>
      <c r="D5" s="338" t="s">
        <v>1247</v>
      </c>
      <c r="E5" s="338" t="s">
        <v>1247</v>
      </c>
      <c r="F5" s="338" t="s">
        <v>1247</v>
      </c>
      <c r="G5" s="338" t="s">
        <v>1248</v>
      </c>
      <c r="H5" s="338" t="s">
        <v>1248</v>
      </c>
      <c r="I5" s="338" t="s">
        <v>1248</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7">
        <v>2026</v>
      </c>
      <c r="I6" s="558" t="s">
        <v>1249</v>
      </c>
      <c r="J6" s="559" t="s">
        <v>483</v>
      </c>
      <c r="K6" s="339"/>
      <c r="L6" s="339"/>
      <c r="M6" s="339"/>
      <c r="N6" s="339"/>
      <c r="O6" s="339"/>
      <c r="P6" s="339"/>
      <c r="Q6" s="339"/>
      <c r="R6" s="339"/>
      <c r="S6" s="339"/>
      <c r="T6" s="339"/>
      <c r="U6" s="339"/>
      <c r="V6" s="339"/>
      <c r="W6" s="339"/>
      <c r="X6" s="339"/>
      <c r="Y6" s="339"/>
      <c r="Z6" s="339"/>
      <c r="AA6" s="339"/>
    </row>
    <row r="7" spans="1:27">
      <c r="A7" s="339"/>
      <c r="B7" s="339"/>
      <c r="C7" s="339"/>
      <c r="D7" s="457" t="s">
        <v>1250</v>
      </c>
      <c r="E7" s="457" t="s">
        <v>1251</v>
      </c>
      <c r="F7" s="457" t="s">
        <v>1252</v>
      </c>
      <c r="G7" s="457" t="s">
        <v>1253</v>
      </c>
      <c r="H7" s="560" t="s">
        <v>1254</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1" t="s">
        <v>740</v>
      </c>
      <c r="C9" s="29" t="s">
        <v>522</v>
      </c>
      <c r="D9" s="589">
        <v>316.3534681299999</v>
      </c>
      <c r="E9" s="589">
        <v>204.97499434999986</v>
      </c>
      <c r="F9" s="589">
        <v>202.85811992473543</v>
      </c>
      <c r="G9" s="589">
        <v>181.68456240652563</v>
      </c>
      <c r="H9" s="589">
        <v>188.81385155382426</v>
      </c>
      <c r="I9" s="339"/>
      <c r="J9" s="339"/>
    </row>
    <row r="10" spans="1:27">
      <c r="B10" s="429"/>
      <c r="C10" s="29"/>
      <c r="D10" s="39"/>
      <c r="E10" s="39"/>
      <c r="F10" s="39"/>
      <c r="G10" s="39"/>
      <c r="H10" s="39"/>
      <c r="I10" s="339"/>
      <c r="J10" s="339"/>
    </row>
    <row r="11" spans="1:27">
      <c r="B11" s="429" t="s">
        <v>672</v>
      </c>
      <c r="C11" s="562"/>
      <c r="D11" s="563"/>
      <c r="E11" s="563"/>
      <c r="F11" s="563"/>
      <c r="G11" s="563"/>
      <c r="H11" s="563"/>
      <c r="I11" s="339"/>
      <c r="J11" s="339"/>
    </row>
    <row r="12" spans="1:27">
      <c r="B12" s="564" t="s">
        <v>745</v>
      </c>
      <c r="C12" s="29" t="s">
        <v>522</v>
      </c>
      <c r="D12" s="589">
        <v>0</v>
      </c>
      <c r="E12" s="589">
        <v>0</v>
      </c>
      <c r="F12" s="589">
        <v>0</v>
      </c>
      <c r="G12" s="589">
        <v>0</v>
      </c>
      <c r="H12" s="589">
        <v>0</v>
      </c>
      <c r="I12" s="339"/>
      <c r="J12" s="339"/>
    </row>
    <row r="13" spans="1:27">
      <c r="B13" s="564" t="s">
        <v>746</v>
      </c>
      <c r="C13" s="29" t="s">
        <v>522</v>
      </c>
      <c r="D13" s="589">
        <v>13.819698439999998</v>
      </c>
      <c r="E13" s="589">
        <v>14.963229609999999</v>
      </c>
      <c r="F13" s="589">
        <v>15.535199629999999</v>
      </c>
      <c r="G13" s="589">
        <v>3.7789985591600463</v>
      </c>
      <c r="H13" s="589">
        <v>3.2317871291445792</v>
      </c>
      <c r="I13" s="339"/>
      <c r="J13" s="339"/>
    </row>
    <row r="14" spans="1:27">
      <c r="B14" s="564" t="s">
        <v>747</v>
      </c>
      <c r="C14" s="29" t="s">
        <v>522</v>
      </c>
      <c r="D14" s="589">
        <v>0</v>
      </c>
      <c r="E14" s="589">
        <v>0</v>
      </c>
      <c r="F14" s="589">
        <v>0</v>
      </c>
      <c r="G14" s="589">
        <v>0</v>
      </c>
      <c r="H14" s="589">
        <v>0</v>
      </c>
      <c r="I14" s="339"/>
      <c r="J14" s="339"/>
    </row>
    <row r="15" spans="1:27">
      <c r="B15" s="564" t="s">
        <v>748</v>
      </c>
      <c r="C15" s="29" t="s">
        <v>522</v>
      </c>
      <c r="D15" s="589">
        <v>0</v>
      </c>
      <c r="E15" s="589">
        <v>0</v>
      </c>
      <c r="F15" s="589">
        <v>0</v>
      </c>
      <c r="G15" s="589">
        <v>0</v>
      </c>
      <c r="H15" s="589">
        <v>0</v>
      </c>
      <c r="I15" s="339"/>
      <c r="J15" s="339"/>
    </row>
    <row r="16" spans="1:27">
      <c r="B16" s="564" t="s">
        <v>749</v>
      </c>
      <c r="C16" s="29" t="s">
        <v>522</v>
      </c>
      <c r="D16" s="589">
        <v>0</v>
      </c>
      <c r="E16" s="589">
        <v>0</v>
      </c>
      <c r="F16" s="589">
        <v>0</v>
      </c>
      <c r="G16" s="589">
        <v>0</v>
      </c>
      <c r="H16" s="589">
        <v>0</v>
      </c>
      <c r="I16" s="339"/>
      <c r="J16" s="339"/>
    </row>
    <row r="17" spans="2:9">
      <c r="B17" s="564" t="s">
        <v>750</v>
      </c>
      <c r="C17" s="29" t="s">
        <v>522</v>
      </c>
      <c r="D17" s="589">
        <v>9</v>
      </c>
      <c r="E17" s="589">
        <v>29</v>
      </c>
      <c r="F17" s="589">
        <v>33</v>
      </c>
      <c r="G17" s="589">
        <v>35</v>
      </c>
      <c r="H17" s="589">
        <v>35</v>
      </c>
      <c r="I17" s="339"/>
    </row>
    <row r="18" spans="2:9">
      <c r="B18" s="564" t="s">
        <v>751</v>
      </c>
      <c r="C18" s="29" t="s">
        <v>522</v>
      </c>
      <c r="D18" s="589">
        <v>-4.5332836099999936</v>
      </c>
      <c r="E18" s="589">
        <v>-7.2766104899999995</v>
      </c>
      <c r="F18" s="589">
        <v>3.9201389299999989</v>
      </c>
      <c r="G18" s="589">
        <v>-5.5044040992774139</v>
      </c>
      <c r="H18" s="589">
        <v>-5.1790534673784503</v>
      </c>
      <c r="I18" s="339"/>
    </row>
    <row r="19" spans="2:9" ht="12.75" customHeight="1">
      <c r="B19" s="564" t="s">
        <v>752</v>
      </c>
      <c r="C19" s="29" t="s">
        <v>522</v>
      </c>
      <c r="D19" s="589">
        <v>-0.2824158799999999</v>
      </c>
      <c r="E19" s="589">
        <v>-3.0097344699999997</v>
      </c>
      <c r="F19" s="589">
        <v>-1.9666726999999986</v>
      </c>
      <c r="G19" s="589">
        <v>-0.57600000000000007</v>
      </c>
      <c r="H19" s="589">
        <v>-0.57600000000000007</v>
      </c>
      <c r="I19" s="339"/>
    </row>
    <row r="20" spans="2:9">
      <c r="B20" s="564" t="s">
        <v>1235</v>
      </c>
      <c r="C20" s="29" t="s">
        <v>522</v>
      </c>
      <c r="D20" s="589">
        <v>-0.28329284999999998</v>
      </c>
      <c r="E20" s="589">
        <v>-0.30700746999999995</v>
      </c>
      <c r="F20" s="589">
        <v>-0.28404590000000002</v>
      </c>
      <c r="G20" s="589">
        <v>-0.27436445682940558</v>
      </c>
      <c r="H20" s="589">
        <v>0</v>
      </c>
      <c r="I20" s="339"/>
    </row>
    <row r="21" spans="2:9">
      <c r="B21" s="564" t="s">
        <v>1236</v>
      </c>
      <c r="C21" s="29" t="s">
        <v>522</v>
      </c>
      <c r="D21" s="589">
        <v>-2.0715935500000002</v>
      </c>
      <c r="E21" s="589">
        <v>-0.47992902999999987</v>
      </c>
      <c r="F21" s="589">
        <v>0</v>
      </c>
      <c r="G21" s="589">
        <v>-1.3724999999999998</v>
      </c>
      <c r="H21" s="589">
        <v>-1.3724999999999998</v>
      </c>
      <c r="I21" s="339"/>
    </row>
    <row r="22" spans="2:9">
      <c r="B22" s="564" t="s">
        <v>1237</v>
      </c>
      <c r="C22" s="29" t="s">
        <v>522</v>
      </c>
      <c r="D22" s="589">
        <v>-77.819520879999999</v>
      </c>
      <c r="E22" s="589">
        <v>158</v>
      </c>
      <c r="F22" s="589">
        <v>27.193917420000091</v>
      </c>
      <c r="G22" s="589">
        <v>0</v>
      </c>
      <c r="H22" s="589">
        <v>0</v>
      </c>
      <c r="I22" s="339"/>
    </row>
    <row r="23" spans="2:9">
      <c r="B23" s="564" t="s">
        <v>1238</v>
      </c>
      <c r="C23" s="29" t="s">
        <v>522</v>
      </c>
      <c r="D23" s="589">
        <v>76.301751127434784</v>
      </c>
      <c r="E23" s="589">
        <v>68.25365874256029</v>
      </c>
      <c r="F23" s="589">
        <v>54.487363216055257</v>
      </c>
      <c r="G23" s="589">
        <v>44.605492299657257</v>
      </c>
      <c r="H23" s="589">
        <v>43.356358075206941</v>
      </c>
      <c r="I23" s="339"/>
    </row>
    <row r="24" spans="2:9">
      <c r="B24" s="564" t="s">
        <v>767</v>
      </c>
      <c r="C24" s="29" t="s">
        <v>522</v>
      </c>
      <c r="D24" s="589">
        <v>-270.69064184098943</v>
      </c>
      <c r="E24" s="589">
        <v>-380.54838322468561</v>
      </c>
      <c r="F24" s="589">
        <v>-274.78988012132038</v>
      </c>
      <c r="G24" s="589">
        <v>-211.44675707581874</v>
      </c>
      <c r="H24" s="589">
        <v>-216.47616314153342</v>
      </c>
      <c r="I24" s="339"/>
    </row>
    <row r="25" spans="2:9">
      <c r="B25" s="564" t="s">
        <v>753</v>
      </c>
      <c r="C25" s="29" t="s">
        <v>522</v>
      </c>
      <c r="D25" s="589">
        <v>0</v>
      </c>
      <c r="E25" s="589">
        <v>0</v>
      </c>
      <c r="F25" s="589">
        <v>0</v>
      </c>
      <c r="G25" s="589">
        <v>0</v>
      </c>
      <c r="H25" s="589">
        <v>0</v>
      </c>
      <c r="I25" s="339"/>
    </row>
    <row r="26" spans="2:9">
      <c r="B26" s="564" t="s">
        <v>753</v>
      </c>
      <c r="C26" s="29" t="s">
        <v>522</v>
      </c>
      <c r="D26" s="589">
        <v>0</v>
      </c>
      <c r="E26" s="589">
        <v>0</v>
      </c>
      <c r="F26" s="589">
        <v>0</v>
      </c>
      <c r="G26" s="589">
        <v>0</v>
      </c>
      <c r="H26" s="589">
        <v>0</v>
      </c>
      <c r="I26" s="339"/>
    </row>
    <row r="27" spans="2:9">
      <c r="B27" s="564" t="s">
        <v>753</v>
      </c>
      <c r="C27" s="29" t="s">
        <v>522</v>
      </c>
      <c r="D27" s="589">
        <v>0</v>
      </c>
      <c r="E27" s="589">
        <v>0</v>
      </c>
      <c r="F27" s="589">
        <v>0</v>
      </c>
      <c r="G27" s="589">
        <v>0</v>
      </c>
      <c r="H27" s="589">
        <v>0</v>
      </c>
      <c r="I27" s="339"/>
    </row>
    <row r="28" spans="2:9">
      <c r="B28" s="564" t="s">
        <v>753</v>
      </c>
      <c r="C28" s="29" t="s">
        <v>522</v>
      </c>
      <c r="D28" s="589">
        <v>0</v>
      </c>
      <c r="E28" s="589">
        <v>0</v>
      </c>
      <c r="F28" s="589">
        <v>0</v>
      </c>
      <c r="G28" s="589">
        <v>0</v>
      </c>
      <c r="H28" s="589">
        <v>0</v>
      </c>
      <c r="I28" s="339"/>
    </row>
    <row r="29" spans="2:9">
      <c r="B29" s="565" t="s">
        <v>579</v>
      </c>
      <c r="C29" s="29" t="s">
        <v>522</v>
      </c>
      <c r="D29" s="26">
        <v>59.794169086445322</v>
      </c>
      <c r="E29" s="27">
        <v>83.570218017874538</v>
      </c>
      <c r="F29" s="27">
        <v>59.954140399470418</v>
      </c>
      <c r="G29" s="27">
        <v>45.895027633417357</v>
      </c>
      <c r="H29" s="27">
        <v>46.798280149263888</v>
      </c>
      <c r="I29" s="339"/>
    </row>
    <row r="30" spans="2:9" ht="14">
      <c r="B30" s="566" t="s">
        <v>673</v>
      </c>
      <c r="C30" s="29" t="s">
        <v>522</v>
      </c>
      <c r="D30" s="545"/>
      <c r="E30" s="567"/>
      <c r="F30" s="567"/>
      <c r="G30" s="567">
        <v>4.8962312671805943</v>
      </c>
      <c r="H30" s="567">
        <v>6.0801303365123376</v>
      </c>
      <c r="I30" s="339"/>
    </row>
    <row r="31" spans="2:9">
      <c r="B31" s="1225" t="s">
        <v>674</v>
      </c>
      <c r="C31" s="29" t="s">
        <v>522</v>
      </c>
      <c r="D31" s="26">
        <v>59.794169086445322</v>
      </c>
      <c r="E31" s="27">
        <v>83.570218017874538</v>
      </c>
      <c r="F31" s="27">
        <v>59.954140399470418</v>
      </c>
      <c r="G31" s="27">
        <v>50.791258900597953</v>
      </c>
      <c r="H31" s="27">
        <v>52.878410485776229</v>
      </c>
      <c r="I31" s="339"/>
    </row>
    <row r="32" spans="2:9">
      <c r="B32" s="88" t="s">
        <v>675</v>
      </c>
      <c r="C32" s="29" t="s">
        <v>522</v>
      </c>
      <c r="D32" s="567">
        <v>59.794169086445322</v>
      </c>
      <c r="E32" s="567">
        <v>83.570218017874538</v>
      </c>
      <c r="F32" s="567">
        <v>59.954140399470418</v>
      </c>
      <c r="G32" s="567">
        <v>50.791258900597953</v>
      </c>
      <c r="H32" s="567">
        <v>52.878410485776229</v>
      </c>
      <c r="I32" s="339"/>
    </row>
    <row r="33" spans="2:11">
      <c r="B33" s="88" t="s">
        <v>676</v>
      </c>
      <c r="C33" s="29" t="s">
        <v>522</v>
      </c>
      <c r="D33" s="567">
        <v>0</v>
      </c>
      <c r="E33" s="567">
        <v>0</v>
      </c>
      <c r="F33" s="567">
        <v>0</v>
      </c>
      <c r="G33" s="567">
        <v>0</v>
      </c>
      <c r="H33" s="567">
        <v>0</v>
      </c>
      <c r="I33" s="339"/>
    </row>
    <row r="34" spans="2:11">
      <c r="B34" s="88"/>
      <c r="D34" s="590" t="s">
        <v>1255</v>
      </c>
      <c r="E34" s="591" t="s">
        <v>1255</v>
      </c>
      <c r="F34" s="591" t="s">
        <v>1255</v>
      </c>
      <c r="G34" s="591" t="s">
        <v>1255</v>
      </c>
      <c r="H34" s="591" t="s">
        <v>1255</v>
      </c>
      <c r="I34" s="339"/>
    </row>
    <row r="35" spans="2:11">
      <c r="D35" s="568"/>
      <c r="E35" s="568"/>
      <c r="F35" s="568"/>
      <c r="G35" s="568"/>
      <c r="H35" s="568"/>
      <c r="I35" s="339"/>
    </row>
    <row r="36" spans="2:11">
      <c r="B36" s="88" t="s">
        <v>677</v>
      </c>
      <c r="C36" s="29" t="s">
        <v>522</v>
      </c>
      <c r="D36" s="567">
        <v>25.75257049549506</v>
      </c>
      <c r="E36" s="567">
        <v>52.870819890668898</v>
      </c>
      <c r="F36" s="567">
        <v>25.390607595786658</v>
      </c>
      <c r="G36" s="567">
        <v>11.3309451195792</v>
      </c>
      <c r="H36" s="567">
        <v>8.685996801107791</v>
      </c>
      <c r="I36" s="339"/>
    </row>
    <row r="37" spans="2:11">
      <c r="D37" s="568"/>
      <c r="E37" s="568"/>
      <c r="F37" s="568"/>
      <c r="G37" s="568"/>
      <c r="H37" s="568"/>
      <c r="I37" s="339"/>
    </row>
    <row r="38" spans="2:11">
      <c r="B38" s="88" t="s">
        <v>678</v>
      </c>
      <c r="C38" s="29" t="s">
        <v>522</v>
      </c>
      <c r="D38" s="589">
        <v>56.8523954511857</v>
      </c>
      <c r="E38" s="589">
        <v>113.87142690782515</v>
      </c>
      <c r="F38" s="589">
        <v>77.881232623159917</v>
      </c>
      <c r="G38" s="589">
        <v>33.296112903849853</v>
      </c>
      <c r="H38" s="589">
        <v>22.405167248528407</v>
      </c>
      <c r="I38" s="339"/>
      <c r="K38" s="346"/>
    </row>
    <row r="39" spans="2:11">
      <c r="B39" s="88"/>
      <c r="C39" s="29"/>
      <c r="D39" s="569"/>
      <c r="E39" s="569"/>
      <c r="F39" s="569"/>
      <c r="G39" s="569"/>
      <c r="H39" s="569"/>
      <c r="I39" s="339"/>
      <c r="K39" s="346"/>
    </row>
    <row r="40" spans="2:11">
      <c r="B40" s="88" t="s">
        <v>679</v>
      </c>
      <c r="C40" s="29" t="s">
        <v>522</v>
      </c>
      <c r="D40" s="21">
        <v>2.9417736352596222</v>
      </c>
      <c r="E40" s="21">
        <v>-30.301208889950615</v>
      </c>
      <c r="F40" s="21">
        <v>-17.927092223689499</v>
      </c>
      <c r="G40" s="21">
        <v>17.4951459967481</v>
      </c>
      <c r="H40" s="21">
        <v>30.473243237247821</v>
      </c>
    </row>
    <row r="41" spans="2:11">
      <c r="B41" s="88"/>
      <c r="C41" s="29"/>
      <c r="D41" s="29"/>
      <c r="E41" s="29"/>
      <c r="F41" s="29"/>
      <c r="G41" s="29"/>
      <c r="H41" s="29"/>
      <c r="I41" s="29"/>
      <c r="K41" s="346"/>
    </row>
    <row r="42" spans="2:11">
      <c r="B42" s="570" t="s">
        <v>680</v>
      </c>
      <c r="C42" s="29" t="s">
        <v>681</v>
      </c>
      <c r="D42" s="592">
        <v>1.0847835302284383</v>
      </c>
      <c r="E42" s="592">
        <v>1.1799638149272795</v>
      </c>
      <c r="F42" s="592">
        <v>1.2454152449594804</v>
      </c>
      <c r="G42" s="592">
        <v>1.2741504065955518</v>
      </c>
      <c r="H42" s="592">
        <v>1.2937411435491952</v>
      </c>
      <c r="I42" s="29"/>
      <c r="K42" s="346"/>
    </row>
    <row r="43" spans="2:11">
      <c r="I43" s="468"/>
      <c r="J43" s="468"/>
      <c r="K43" s="468"/>
    </row>
    <row r="44" spans="2:11">
      <c r="B44" s="86" t="s">
        <v>679</v>
      </c>
      <c r="C44" s="476" t="s">
        <v>23</v>
      </c>
      <c r="D44" s="26">
        <v>2.7118531516053999</v>
      </c>
      <c r="E44" s="27">
        <v>-25.679778063209557</v>
      </c>
      <c r="F44" s="27">
        <v>-14.394469873598469</v>
      </c>
      <c r="G44" s="27">
        <v>13.730832644392438</v>
      </c>
      <c r="H44" s="27">
        <v>23.554358914217417</v>
      </c>
      <c r="I44" s="593">
        <v>-37.362394785202625</v>
      </c>
      <c r="J44" s="594">
        <v>-7.7203226592772012E-2</v>
      </c>
    </row>
    <row r="45" spans="2:11">
      <c r="B45" s="88"/>
      <c r="C45" s="468"/>
      <c r="D45" s="571"/>
      <c r="E45" s="571"/>
      <c r="F45" s="571"/>
      <c r="G45" s="571"/>
      <c r="H45" s="571"/>
      <c r="I45" s="572"/>
      <c r="J45" s="572"/>
    </row>
    <row r="46" spans="2:11">
      <c r="B46" s="86" t="s">
        <v>682</v>
      </c>
      <c r="C46" s="29"/>
      <c r="D46" s="571"/>
      <c r="E46" s="571"/>
      <c r="F46" s="571"/>
      <c r="G46" s="571"/>
      <c r="H46" s="571"/>
      <c r="I46" s="572"/>
      <c r="J46" s="572"/>
    </row>
    <row r="47" spans="2:11">
      <c r="B47" s="564" t="s">
        <v>754</v>
      </c>
      <c r="C47" s="29" t="s">
        <v>522</v>
      </c>
      <c r="D47" s="101">
        <v>4.5332836099999936</v>
      </c>
      <c r="E47" s="101">
        <v>7.2766104899999995</v>
      </c>
      <c r="F47" s="101">
        <v>-3.9201389299999989</v>
      </c>
      <c r="G47" s="101">
        <v>5.5044040992774139</v>
      </c>
      <c r="H47" s="101">
        <v>5.1790534673784503</v>
      </c>
      <c r="I47" s="593">
        <v>7.8897551699999955</v>
      </c>
      <c r="J47" s="593">
        <v>18.573212736655861</v>
      </c>
    </row>
    <row r="48" spans="2:11" ht="14">
      <c r="B48" s="564" t="s">
        <v>683</v>
      </c>
      <c r="C48" s="29" t="s">
        <v>522</v>
      </c>
      <c r="D48" s="545"/>
      <c r="E48" s="567">
        <v>0</v>
      </c>
      <c r="F48" s="567">
        <v>0.2200554489366707</v>
      </c>
      <c r="G48" s="567">
        <v>0.1337570218686201</v>
      </c>
      <c r="H48" s="567">
        <v>0.19553021372200038</v>
      </c>
      <c r="I48" s="593">
        <v>0.2200554489366707</v>
      </c>
      <c r="J48" s="593">
        <v>0.54934268452729118</v>
      </c>
    </row>
    <row r="49" spans="1:11">
      <c r="B49" s="564" t="s">
        <v>755</v>
      </c>
      <c r="C49" s="29" t="s">
        <v>522</v>
      </c>
      <c r="D49" s="101">
        <v>0</v>
      </c>
      <c r="E49" s="101">
        <v>0</v>
      </c>
      <c r="F49" s="101">
        <v>0</v>
      </c>
      <c r="G49" s="101">
        <v>0</v>
      </c>
      <c r="H49" s="101">
        <v>0</v>
      </c>
      <c r="I49" s="593">
        <v>0</v>
      </c>
      <c r="J49" s="593">
        <v>0</v>
      </c>
    </row>
    <row r="50" spans="1:11">
      <c r="B50" s="564" t="s">
        <v>756</v>
      </c>
      <c r="C50" s="29" t="s">
        <v>522</v>
      </c>
      <c r="D50" s="101">
        <v>0</v>
      </c>
      <c r="E50" s="101">
        <v>0</v>
      </c>
      <c r="F50" s="101">
        <v>0</v>
      </c>
      <c r="G50" s="101">
        <v>0</v>
      </c>
      <c r="H50" s="101">
        <v>0</v>
      </c>
      <c r="I50" s="593">
        <v>0</v>
      </c>
      <c r="J50" s="593">
        <v>0</v>
      </c>
    </row>
    <row r="51" spans="1:11">
      <c r="B51" s="564" t="s">
        <v>1239</v>
      </c>
      <c r="C51" s="29" t="s">
        <v>522</v>
      </c>
      <c r="D51" s="101">
        <v>-3.7130827483250859</v>
      </c>
      <c r="E51" s="101">
        <v>-5.9663679712722484</v>
      </c>
      <c r="F51" s="101">
        <v>3.2180246415087663</v>
      </c>
      <c r="G51" s="101">
        <v>-4.5227338333030529</v>
      </c>
      <c r="H51" s="101">
        <v>-4.2584521661473813</v>
      </c>
      <c r="I51" s="593">
        <v>-6.4614260780885679</v>
      </c>
      <c r="J51" s="593">
        <v>-15.242612077539004</v>
      </c>
    </row>
    <row r="52" spans="1:11">
      <c r="B52" s="564" t="s">
        <v>753</v>
      </c>
      <c r="C52" s="29" t="s">
        <v>522</v>
      </c>
      <c r="D52" s="101">
        <v>0</v>
      </c>
      <c r="E52" s="101">
        <v>0</v>
      </c>
      <c r="F52" s="101">
        <v>0</v>
      </c>
      <c r="G52" s="101">
        <v>0</v>
      </c>
      <c r="H52" s="101">
        <v>0</v>
      </c>
      <c r="I52" s="593">
        <v>0</v>
      </c>
      <c r="J52" s="593">
        <v>0</v>
      </c>
    </row>
    <row r="53" spans="1:11">
      <c r="B53" s="564" t="s">
        <v>753</v>
      </c>
      <c r="C53" s="29" t="s">
        <v>522</v>
      </c>
      <c r="D53" s="101">
        <v>0</v>
      </c>
      <c r="E53" s="101">
        <v>0</v>
      </c>
      <c r="F53" s="101">
        <v>0</v>
      </c>
      <c r="G53" s="101">
        <v>0</v>
      </c>
      <c r="H53" s="101">
        <v>0</v>
      </c>
      <c r="I53" s="593">
        <v>0</v>
      </c>
      <c r="J53" s="593">
        <v>0</v>
      </c>
    </row>
    <row r="54" spans="1:11">
      <c r="B54" s="564" t="s">
        <v>753</v>
      </c>
      <c r="C54" s="29" t="s">
        <v>522</v>
      </c>
      <c r="D54" s="101">
        <v>0</v>
      </c>
      <c r="E54" s="101">
        <v>0</v>
      </c>
      <c r="F54" s="101">
        <v>0</v>
      </c>
      <c r="G54" s="101">
        <v>0</v>
      </c>
      <c r="H54" s="101">
        <v>0</v>
      </c>
      <c r="I54" s="593">
        <v>0</v>
      </c>
      <c r="J54" s="593">
        <v>0</v>
      </c>
    </row>
    <row r="55" spans="1:11">
      <c r="A55" s="573"/>
      <c r="B55" s="574"/>
      <c r="C55" s="100"/>
      <c r="D55" s="575"/>
      <c r="E55" s="575"/>
      <c r="F55" s="575"/>
      <c r="G55" s="575"/>
      <c r="H55" s="575"/>
      <c r="I55" s="576"/>
      <c r="J55" s="576"/>
      <c r="K55" s="573"/>
    </row>
    <row r="56" spans="1:11">
      <c r="B56" s="577" t="s">
        <v>684</v>
      </c>
      <c r="C56" s="40" t="s">
        <v>522</v>
      </c>
      <c r="D56" s="26">
        <v>0.82020086167490769</v>
      </c>
      <c r="E56" s="26">
        <v>1.3102425187277511</v>
      </c>
      <c r="F56" s="26">
        <v>-0.48205883955456175</v>
      </c>
      <c r="G56" s="26">
        <v>1.115427287842981</v>
      </c>
      <c r="H56" s="26">
        <v>1.1161315149530697</v>
      </c>
      <c r="I56" s="593">
        <v>1.648384540848097</v>
      </c>
      <c r="J56" s="594">
        <v>3.8799433436441477</v>
      </c>
    </row>
    <row r="57" spans="1:11">
      <c r="B57" s="577" t="s">
        <v>684</v>
      </c>
      <c r="C57" s="476" t="s">
        <v>23</v>
      </c>
      <c r="D57" s="26">
        <v>0.756096344403557</v>
      </c>
      <c r="E57" s="26">
        <v>1.1104090669157516</v>
      </c>
      <c r="F57" s="26">
        <v>-0.38706675665452089</v>
      </c>
      <c r="G57" s="26">
        <v>0.87542827131635992</v>
      </c>
      <c r="H57" s="26">
        <v>0.86271625550310727</v>
      </c>
      <c r="I57" s="593">
        <v>1.4794386546647875</v>
      </c>
      <c r="J57" s="594">
        <v>3.2175831814842546</v>
      </c>
    </row>
    <row r="58" spans="1:11">
      <c r="B58" s="88"/>
      <c r="C58" s="468"/>
      <c r="D58" s="571"/>
      <c r="E58" s="571"/>
      <c r="F58" s="571"/>
      <c r="G58" s="571"/>
      <c r="H58" s="571"/>
      <c r="I58" s="572"/>
      <c r="J58" s="572"/>
    </row>
    <row r="59" spans="1:11">
      <c r="A59" s="467"/>
      <c r="B59" s="339"/>
      <c r="C59" s="339"/>
      <c r="D59" s="339"/>
      <c r="E59" s="339"/>
      <c r="F59" s="339"/>
      <c r="G59" s="339"/>
      <c r="H59" s="339"/>
      <c r="I59" s="339"/>
      <c r="J59" s="339"/>
      <c r="K59" s="339"/>
    </row>
    <row r="60" spans="1:11">
      <c r="A60" s="467"/>
      <c r="B60" s="578" t="s">
        <v>685</v>
      </c>
      <c r="C60" s="393"/>
      <c r="D60" s="393"/>
      <c r="E60" s="393"/>
      <c r="F60" s="393"/>
      <c r="G60" s="393"/>
      <c r="H60" s="393"/>
      <c r="I60" s="393"/>
      <c r="J60" s="393"/>
      <c r="K60" s="393"/>
    </row>
    <row r="61" spans="1:11">
      <c r="A61" s="467"/>
      <c r="B61" s="579" t="s">
        <v>686</v>
      </c>
      <c r="C61" s="580"/>
      <c r="D61" s="580"/>
      <c r="E61" s="580"/>
      <c r="F61" s="580"/>
      <c r="G61" s="580"/>
      <c r="H61" s="580"/>
      <c r="I61" s="580"/>
      <c r="J61" s="580"/>
      <c r="K61" s="580"/>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687</v>
      </c>
      <c r="C64" s="468" t="s">
        <v>486</v>
      </c>
      <c r="D64" s="103">
        <v>0.61997328769433102</v>
      </c>
      <c r="E64" s="103">
        <v>0.59586982945258848</v>
      </c>
      <c r="F64" s="103">
        <v>0.58824596772119597</v>
      </c>
      <c r="G64" s="103">
        <v>0.60170373601964544</v>
      </c>
      <c r="H64" s="103">
        <v>0.61598550297753485</v>
      </c>
      <c r="I64" s="339"/>
      <c r="K64" s="346"/>
    </row>
    <row r="65" spans="2:12">
      <c r="B65" s="88"/>
      <c r="C65" s="468"/>
      <c r="D65" s="468"/>
      <c r="E65" s="468"/>
      <c r="F65" s="468"/>
      <c r="G65" s="468"/>
      <c r="H65" s="468"/>
      <c r="I65" s="339"/>
      <c r="K65" s="346"/>
    </row>
    <row r="66" spans="2:12">
      <c r="B66" s="88" t="s">
        <v>688</v>
      </c>
      <c r="C66" s="29" t="s">
        <v>522</v>
      </c>
      <c r="D66" s="18">
        <v>2.9417736352596222</v>
      </c>
      <c r="E66" s="19">
        <v>-30.301208889950615</v>
      </c>
      <c r="F66" s="19">
        <v>-17.927092223689499</v>
      </c>
      <c r="G66" s="19">
        <v>17.4951459967481</v>
      </c>
      <c r="H66" s="19">
        <v>30.473243237247821</v>
      </c>
    </row>
    <row r="67" spans="2:12">
      <c r="B67" s="88" t="s">
        <v>689</v>
      </c>
      <c r="C67" s="29" t="s">
        <v>522</v>
      </c>
      <c r="D67" s="18">
        <v>-9.4773262517735699E-2</v>
      </c>
      <c r="E67" s="18">
        <v>-0.21002768444109499</v>
      </c>
      <c r="F67" s="18">
        <v>-0.35821005535938166</v>
      </c>
      <c r="G67" s="18">
        <v>-4.9537851635746991E-2</v>
      </c>
      <c r="H67" s="18">
        <v>-0.79081426129266419</v>
      </c>
      <c r="K67" s="346"/>
    </row>
    <row r="68" spans="2:12">
      <c r="B68" s="88" t="s">
        <v>690</v>
      </c>
      <c r="C68" s="29" t="s">
        <v>522</v>
      </c>
      <c r="D68" s="21">
        <v>2.8470003727418867</v>
      </c>
      <c r="E68" s="22">
        <v>-30.51123657439171</v>
      </c>
      <c r="F68" s="22">
        <v>-18.285302279048882</v>
      </c>
      <c r="G68" s="22">
        <v>17.445608145112352</v>
      </c>
      <c r="H68" s="22">
        <v>29.682428975955158</v>
      </c>
    </row>
    <row r="69" spans="2:12">
      <c r="B69" s="88"/>
      <c r="C69" s="29"/>
      <c r="D69" s="29"/>
      <c r="E69" s="29"/>
      <c r="F69" s="29"/>
      <c r="G69" s="29"/>
      <c r="H69" s="29"/>
      <c r="I69" s="29"/>
      <c r="J69" s="29"/>
      <c r="K69" s="29"/>
      <c r="L69" s="29"/>
    </row>
    <row r="70" spans="2:12">
      <c r="B70" s="86" t="s">
        <v>690</v>
      </c>
      <c r="C70" s="476" t="s">
        <v>23</v>
      </c>
      <c r="D70" s="26">
        <v>2.6244870920397854</v>
      </c>
      <c r="E70" s="27">
        <v>-25.857773084568784</v>
      </c>
      <c r="F70" s="27">
        <v>-14.682092862645016</v>
      </c>
      <c r="G70" s="27">
        <v>13.691953520405725</v>
      </c>
      <c r="H70" s="27">
        <v>22.943097329753019</v>
      </c>
      <c r="I70" s="593">
        <v>-37.915378855174012</v>
      </c>
      <c r="J70" s="594">
        <v>-1.2803280050152672</v>
      </c>
    </row>
    <row r="71" spans="2:12">
      <c r="B71" s="88" t="s">
        <v>691</v>
      </c>
      <c r="C71" s="468" t="s">
        <v>23</v>
      </c>
      <c r="D71" s="18">
        <v>0.73173766619732761</v>
      </c>
      <c r="E71" s="18">
        <v>1.1181056788216897</v>
      </c>
      <c r="F71" s="18">
        <v>-0.39480092807501338</v>
      </c>
      <c r="G71" s="18">
        <v>0.87294947886556995</v>
      </c>
      <c r="H71" s="18">
        <v>0.84032781745635077</v>
      </c>
      <c r="I71" s="595">
        <v>1.4550424169440039</v>
      </c>
      <c r="J71" s="596">
        <v>3.1683197132659249</v>
      </c>
      <c r="K71" s="468"/>
    </row>
    <row r="72" spans="2:12"/>
    <row r="73" spans="2:12">
      <c r="B73" s="581" t="s">
        <v>692</v>
      </c>
      <c r="C73" s="582"/>
      <c r="D73" s="582"/>
      <c r="E73" s="582"/>
      <c r="F73" s="582"/>
      <c r="G73" s="582"/>
      <c r="H73" s="582"/>
      <c r="I73" s="582"/>
      <c r="J73" s="582"/>
      <c r="K73" s="582"/>
      <c r="L73" s="468"/>
    </row>
    <row r="74" spans="2:12">
      <c r="B74" s="491"/>
      <c r="C74" s="468"/>
      <c r="D74" s="468"/>
      <c r="E74" s="468"/>
      <c r="F74" s="468"/>
      <c r="G74" s="468"/>
      <c r="H74" s="468"/>
      <c r="I74" s="468"/>
      <c r="J74" s="468"/>
      <c r="K74" s="468"/>
      <c r="L74" s="468"/>
    </row>
    <row r="75" spans="2:12">
      <c r="B75" s="579" t="s">
        <v>693</v>
      </c>
      <c r="C75" s="583"/>
      <c r="D75" s="583"/>
      <c r="E75" s="583"/>
      <c r="F75" s="583"/>
      <c r="G75" s="583"/>
      <c r="H75" s="583"/>
      <c r="I75" s="583"/>
      <c r="J75" s="583"/>
      <c r="K75" s="583"/>
      <c r="L75" s="468"/>
    </row>
    <row r="76" spans="2:12">
      <c r="B76" s="584"/>
      <c r="C76" s="584"/>
      <c r="D76" s="584"/>
      <c r="E76" s="584"/>
      <c r="F76" s="584"/>
      <c r="G76" s="584"/>
      <c r="H76" s="584"/>
      <c r="I76" s="584"/>
      <c r="J76" s="584"/>
      <c r="K76" s="584"/>
      <c r="L76" s="468"/>
    </row>
    <row r="77" spans="2:12">
      <c r="B77" s="88" t="s">
        <v>694</v>
      </c>
      <c r="C77" s="468" t="s">
        <v>23</v>
      </c>
      <c r="D77" s="520">
        <v>21.274484387831297</v>
      </c>
      <c r="E77" s="520">
        <v>19.885493020237529</v>
      </c>
      <c r="F77" s="520">
        <v>20.172688626711647</v>
      </c>
      <c r="G77" s="520">
        <v>22.27216760520237</v>
      </c>
      <c r="H77" s="520">
        <v>24.296590901820291</v>
      </c>
      <c r="I77" s="584"/>
      <c r="J77" s="585"/>
      <c r="L77" s="468"/>
    </row>
    <row r="78" spans="2:12">
      <c r="B78" s="88"/>
      <c r="C78" s="468"/>
      <c r="D78" s="586"/>
      <c r="E78" s="586"/>
      <c r="F78" s="586"/>
      <c r="G78" s="586"/>
      <c r="H78" s="586"/>
      <c r="I78" s="584"/>
      <c r="J78" s="572"/>
      <c r="L78" s="468"/>
    </row>
    <row r="79" spans="2:12">
      <c r="B79" s="88"/>
      <c r="C79" s="468"/>
      <c r="D79" s="586"/>
      <c r="E79" s="587"/>
      <c r="F79" s="587"/>
      <c r="G79" s="587"/>
      <c r="H79" s="587"/>
      <c r="I79" s="572"/>
      <c r="J79" s="572"/>
      <c r="L79" s="468"/>
    </row>
    <row r="80" spans="2:12">
      <c r="B80" s="588" t="s">
        <v>695</v>
      </c>
      <c r="C80" s="582"/>
      <c r="D80" s="582"/>
      <c r="E80" s="582"/>
      <c r="F80" s="582"/>
      <c r="G80" s="582"/>
      <c r="H80" s="582"/>
      <c r="I80" s="582"/>
      <c r="J80" s="582"/>
      <c r="K80" s="582"/>
    </row>
    <row r="81" spans="2:11">
      <c r="B81" s="579" t="s">
        <v>696</v>
      </c>
      <c r="C81" s="580"/>
      <c r="D81" s="580"/>
      <c r="E81" s="580"/>
      <c r="F81" s="580"/>
      <c r="G81" s="580"/>
      <c r="H81" s="580"/>
      <c r="I81" s="580"/>
      <c r="J81" s="580"/>
      <c r="K81" s="580"/>
    </row>
    <row r="82" spans="2:11" ht="24.65" customHeight="1">
      <c r="B82" s="562" t="s">
        <v>697</v>
      </c>
      <c r="C82" s="468"/>
      <c r="D82" s="468"/>
      <c r="E82" s="468"/>
      <c r="F82" s="468"/>
      <c r="G82" s="468"/>
      <c r="H82" s="468"/>
      <c r="I82" s="468"/>
      <c r="J82" s="468"/>
      <c r="K82" s="468"/>
    </row>
    <row r="83" spans="2:11">
      <c r="B83" s="88" t="s">
        <v>698</v>
      </c>
      <c r="C83" s="468" t="s">
        <v>23</v>
      </c>
      <c r="D83" s="26">
        <v>17.806534891822341</v>
      </c>
      <c r="E83" s="26">
        <v>44.454862016531337</v>
      </c>
      <c r="F83" s="26">
        <v>34.954225256964634</v>
      </c>
      <c r="G83" s="26">
        <v>7.6659066894935721</v>
      </c>
      <c r="H83" s="26">
        <v>-0.12048426790023281</v>
      </c>
      <c r="I83" s="593">
        <v>97.215622165318308</v>
      </c>
      <c r="J83" s="594">
        <v>104.76104458691164</v>
      </c>
      <c r="K83" s="468"/>
    </row>
    <row r="84" spans="2:11">
      <c r="B84" s="88"/>
      <c r="K84" s="468"/>
    </row>
    <row r="85" spans="2:11">
      <c r="B85" s="88" t="s">
        <v>699</v>
      </c>
      <c r="C85" s="468" t="s">
        <v>23</v>
      </c>
      <c r="D85" s="26">
        <v>17.918259629594182</v>
      </c>
      <c r="E85" s="26">
        <v>44.625160425984618</v>
      </c>
      <c r="F85" s="26">
        <v>35.249582417431675</v>
      </c>
      <c r="G85" s="26">
        <v>7.7072646059310745</v>
      </c>
      <c r="H85" s="26">
        <v>0.51316575461092129</v>
      </c>
      <c r="I85" s="593">
        <v>97.793002473010475</v>
      </c>
      <c r="J85" s="594">
        <v>106.01343283355247</v>
      </c>
      <c r="K85" s="468"/>
    </row>
    <row r="86" spans="2:11">
      <c r="B86" s="88"/>
      <c r="K86" s="468"/>
    </row>
    <row r="87" spans="2:11">
      <c r="B87" s="88" t="s">
        <v>700</v>
      </c>
      <c r="C87" s="468" t="s">
        <v>23</v>
      </c>
      <c r="D87" s="26">
        <v>-0.11172473777184067</v>
      </c>
      <c r="E87" s="26">
        <v>-0.1702984094532809</v>
      </c>
      <c r="F87" s="26">
        <v>-0.29535716046704152</v>
      </c>
      <c r="G87" s="26">
        <v>-4.1357916437502418E-2</v>
      </c>
      <c r="H87" s="26">
        <v>-0.6336500225111541</v>
      </c>
      <c r="I87" s="593">
        <v>-0.57738030769216309</v>
      </c>
      <c r="J87" s="594">
        <v>-1.2523882466408196</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61" priority="7">
      <formula>D$5="Forecast"</formula>
    </cfRule>
    <cfRule type="expression" dxfId="60" priority="8">
      <formula>C$12="N/A"</formula>
    </cfRule>
  </conditionalFormatting>
  <conditionalFormatting sqref="D30:H30">
    <cfRule type="expression" dxfId="59" priority="4">
      <formula>D$5="Actuals"</formula>
    </cfRule>
  </conditionalFormatting>
  <conditionalFormatting sqref="D32:H33">
    <cfRule type="expression" dxfId="58" priority="3">
      <formula>D$5="Actuals"</formula>
    </cfRule>
  </conditionalFormatting>
  <conditionalFormatting sqref="D36:H36">
    <cfRule type="expression" dxfId="57" priority="2">
      <formula>D$5="Actuals"</formula>
    </cfRule>
  </conditionalFormatting>
  <conditionalFormatting sqref="E48:H48">
    <cfRule type="expression" dxfId="56"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CC285FE4-1466-4BF7-8FA9-67F63A3D57B8}">
  <ds:schemaRefs>
    <ds:schemaRef ds:uri="http://schemas.microsoft.com/office/2006/metadata/properties"/>
    <ds:schemaRef ds:uri="27c39479-cc18-4e06-8d1d-0435a342121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5.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R3 - Totex - Reconciliation</vt:lpstr>
      <vt:lpstr>R2 - Rec to Revenue and Profit</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2024-09-30T14:59:56Z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CustomUiType">
    <vt:lpwstr>2</vt:lpwstr>
  </property>
  <property fmtid="{D5CDD505-2E9C-101B-9397-08002B2CF9AE}" pid="86" name="MSIP_Label_4b435a31-4a51-492c-a5f9-db703ab5f2e4_Enabled">
    <vt:lpwstr>true</vt:lpwstr>
  </property>
  <property fmtid="{D5CDD505-2E9C-101B-9397-08002B2CF9AE}" pid="87" name="MSIP_Label_4b435a31-4a51-492c-a5f9-db703ab5f2e4_SetDate">
    <vt:lpwstr>2024-09-03T10:25:37Z</vt:lpwstr>
  </property>
  <property fmtid="{D5CDD505-2E9C-101B-9397-08002B2CF9AE}" pid="88" name="MSIP_Label_4b435a31-4a51-492c-a5f9-db703ab5f2e4_Method">
    <vt:lpwstr>Standard</vt:lpwstr>
  </property>
  <property fmtid="{D5CDD505-2E9C-101B-9397-08002B2CF9AE}" pid="89" name="MSIP_Label_4b435a31-4a51-492c-a5f9-db703ab5f2e4_Name">
    <vt:lpwstr>Cadent - Official</vt:lpwstr>
  </property>
  <property fmtid="{D5CDD505-2E9C-101B-9397-08002B2CF9AE}" pid="90" name="MSIP_Label_4b435a31-4a51-492c-a5f9-db703ab5f2e4_SiteId">
    <vt:lpwstr>de0d74aa-9914-4bb9-9235-fbefe83b1769</vt:lpwstr>
  </property>
  <property fmtid="{D5CDD505-2E9C-101B-9397-08002B2CF9AE}" pid="91" name="MSIP_Label_4b435a31-4a51-492c-a5f9-db703ab5f2e4_ActionId">
    <vt:lpwstr>9fce7978-3e37-403c-a2f2-b6de1d935211</vt:lpwstr>
  </property>
  <property fmtid="{D5CDD505-2E9C-101B-9397-08002B2CF9AE}" pid="92" name="MSIP_Label_4b435a31-4a51-492c-a5f9-db703ab5f2e4_ContentBits">
    <vt:lpwstr>0</vt:lpwstr>
  </property>
</Properties>
</file>